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" yWindow="60" windowWidth="15996" windowHeight="12816" tabRatio="714"/>
  </bookViews>
  <sheets>
    <sheet name="Lähtöarvot" sheetId="1" r:id="rId1"/>
    <sheet name="HLJ-hankkeet" sheetId="7" r:id="rId2"/>
    <sheet name="Lyhyt_av_neutraali" sheetId="3" r:id="rId3"/>
    <sheet name="Lyhyt_av_pessimist" sheetId="8" r:id="rId4"/>
    <sheet name="Lyhyt_av_optimist" sheetId="9" r:id="rId5"/>
    <sheet name="Lyhyt_av_koonti" sheetId="10" r:id="rId6"/>
    <sheet name="Pitkä_aikaväli" sheetId="11" r:id="rId7"/>
    <sheet name="Pitkä_aikaväli+ShL_VpL" sheetId="13" r:id="rId8"/>
    <sheet name="Pitkä_laskenta-aputaulu" sheetId="6" r:id="rId9"/>
    <sheet name="ShL_VpL" sheetId="12" r:id="rId10"/>
    <sheet name="Ei-arvioitavat" sheetId="2" r:id="rId11"/>
  </sheets>
  <calcPr calcId="145621" iterate="1"/>
</workbook>
</file>

<file path=xl/calcChain.xml><?xml version="1.0" encoding="utf-8"?>
<calcChain xmlns="http://schemas.openxmlformats.org/spreadsheetml/2006/main">
  <c r="N20" i="12" l="1"/>
  <c r="M20" i="12"/>
  <c r="L20" i="12"/>
  <c r="K20" i="12"/>
  <c r="J20" i="12"/>
  <c r="I20" i="12"/>
  <c r="N19" i="12"/>
  <c r="M19" i="12"/>
  <c r="L19" i="12"/>
  <c r="K19" i="12"/>
  <c r="J19" i="12"/>
  <c r="I19" i="12"/>
  <c r="N18" i="12"/>
  <c r="M18" i="12"/>
  <c r="L18" i="12"/>
  <c r="K18" i="12"/>
  <c r="J18" i="12"/>
  <c r="I18" i="12"/>
  <c r="N17" i="12"/>
  <c r="M17" i="12"/>
  <c r="L17" i="12"/>
  <c r="K17" i="12"/>
  <c r="J17" i="12"/>
  <c r="F10" i="12"/>
  <c r="F9" i="12"/>
  <c r="F8" i="12"/>
  <c r="I17" i="12"/>
  <c r="E20" i="12"/>
  <c r="E18" i="12"/>
  <c r="E17" i="12"/>
  <c r="E10" i="12"/>
  <c r="C10" i="12"/>
  <c r="H42" i="13" l="1"/>
  <c r="R79" i="13" s="1"/>
  <c r="G42" i="13"/>
  <c r="Q79" i="13" s="1"/>
  <c r="F42" i="13"/>
  <c r="P79" i="13" s="1"/>
  <c r="E42" i="13"/>
  <c r="O79" i="13" s="1"/>
  <c r="D42" i="13"/>
  <c r="N79" i="13" s="1"/>
  <c r="C42" i="13"/>
  <c r="M79" i="13" s="1"/>
  <c r="H41" i="13"/>
  <c r="R78" i="13" s="1"/>
  <c r="G41" i="13"/>
  <c r="Q78" i="13" s="1"/>
  <c r="F41" i="13"/>
  <c r="P78" i="13" s="1"/>
  <c r="E41" i="13"/>
  <c r="O78" i="13" s="1"/>
  <c r="D41" i="13"/>
  <c r="N78" i="13" s="1"/>
  <c r="C41" i="13"/>
  <c r="M78" i="13" s="1"/>
  <c r="H40" i="13"/>
  <c r="R77" i="13" s="1"/>
  <c r="G40" i="13"/>
  <c r="Q77" i="13" s="1"/>
  <c r="F40" i="13"/>
  <c r="P77" i="13" s="1"/>
  <c r="E40" i="13"/>
  <c r="O77" i="13" s="1"/>
  <c r="D40" i="13"/>
  <c r="N77" i="13" s="1"/>
  <c r="C40" i="13"/>
  <c r="M77" i="13" s="1"/>
  <c r="H39" i="13"/>
  <c r="R76" i="13" s="1"/>
  <c r="G39" i="13"/>
  <c r="Q76" i="13" s="1"/>
  <c r="F39" i="13"/>
  <c r="P76" i="13" s="1"/>
  <c r="E39" i="13"/>
  <c r="O76" i="13" s="1"/>
  <c r="D39" i="13"/>
  <c r="N76" i="13" s="1"/>
  <c r="C39" i="13"/>
  <c r="M76" i="13" s="1"/>
  <c r="H32" i="13"/>
  <c r="H90" i="13" s="1"/>
  <c r="G32" i="13"/>
  <c r="G90" i="13" s="1"/>
  <c r="F32" i="13"/>
  <c r="F90" i="13" s="1"/>
  <c r="E32" i="13"/>
  <c r="E90" i="13" s="1"/>
  <c r="D32" i="13"/>
  <c r="D90" i="13" s="1"/>
  <c r="C32" i="13"/>
  <c r="C90" i="13" s="1"/>
  <c r="H20" i="13"/>
  <c r="G20" i="13"/>
  <c r="F20" i="13"/>
  <c r="E20" i="13"/>
  <c r="D20" i="13"/>
  <c r="C20" i="13"/>
  <c r="H19" i="13"/>
  <c r="G19" i="13"/>
  <c r="F19" i="13"/>
  <c r="E19" i="13"/>
  <c r="D19" i="13"/>
  <c r="C19" i="13"/>
  <c r="H18" i="13"/>
  <c r="G18" i="13"/>
  <c r="F18" i="13"/>
  <c r="E18" i="13"/>
  <c r="D18" i="13"/>
  <c r="C18" i="13"/>
  <c r="N85" i="11"/>
  <c r="N90" i="11" s="1"/>
  <c r="O85" i="11"/>
  <c r="O90" i="11" s="1"/>
  <c r="P85" i="11"/>
  <c r="Q85" i="11"/>
  <c r="Q90" i="11" s="1"/>
  <c r="R85" i="11"/>
  <c r="M85" i="11"/>
  <c r="M90" i="11" s="1"/>
  <c r="R90" i="11"/>
  <c r="P90" i="11"/>
  <c r="M71" i="11"/>
  <c r="N71" i="11"/>
  <c r="O71" i="11"/>
  <c r="P71" i="11"/>
  <c r="Q71" i="11"/>
  <c r="R71" i="11"/>
  <c r="M72" i="11"/>
  <c r="N72" i="11"/>
  <c r="O72" i="11"/>
  <c r="P72" i="11"/>
  <c r="Q72" i="11"/>
  <c r="R72" i="11"/>
  <c r="M73" i="11"/>
  <c r="N73" i="11"/>
  <c r="O73" i="11"/>
  <c r="P73" i="11"/>
  <c r="Q73" i="11"/>
  <c r="R73" i="11"/>
  <c r="M74" i="11"/>
  <c r="N74" i="11"/>
  <c r="O74" i="11"/>
  <c r="P74" i="11"/>
  <c r="Q74" i="11"/>
  <c r="R74" i="11"/>
  <c r="N64" i="11"/>
  <c r="O64" i="11"/>
  <c r="P64" i="11"/>
  <c r="Q64" i="11"/>
  <c r="R64" i="11"/>
  <c r="M64" i="11"/>
  <c r="E21" i="3"/>
  <c r="Q90" i="13" l="1"/>
  <c r="Q95" i="13" s="1"/>
  <c r="G95" i="13"/>
  <c r="C95" i="13"/>
  <c r="M90" i="13"/>
  <c r="M95" i="13" s="1"/>
  <c r="D95" i="13"/>
  <c r="N90" i="13"/>
  <c r="N95" i="13" s="1"/>
  <c r="H95" i="13"/>
  <c r="R90" i="13"/>
  <c r="R95" i="13" s="1"/>
  <c r="E95" i="13"/>
  <c r="O90" i="13"/>
  <c r="O95" i="13" s="1"/>
  <c r="P90" i="13"/>
  <c r="P95" i="13" s="1"/>
  <c r="F95" i="13"/>
  <c r="P69" i="13"/>
  <c r="Q69" i="13"/>
  <c r="R69" i="13"/>
  <c r="M69" i="13"/>
  <c r="N69" i="13"/>
  <c r="O69" i="13"/>
  <c r="F17" i="12"/>
  <c r="F16" i="12"/>
  <c r="F13" i="12"/>
  <c r="F12" i="12"/>
  <c r="F6" i="12"/>
  <c r="F5" i="12"/>
  <c r="F4" i="12"/>
  <c r="F24" i="13" l="1"/>
  <c r="G24" i="13"/>
  <c r="E23" i="13"/>
  <c r="E43" i="13" s="1"/>
  <c r="O80" i="13" s="1"/>
  <c r="C23" i="13"/>
  <c r="C43" i="13" s="1"/>
  <c r="M80" i="13" s="1"/>
  <c r="D24" i="13"/>
  <c r="H24" i="13"/>
  <c r="F23" i="13"/>
  <c r="F43" i="13" s="1"/>
  <c r="P80" i="13" s="1"/>
  <c r="E24" i="13"/>
  <c r="C24" i="13"/>
  <c r="G23" i="13"/>
  <c r="G43" i="13" s="1"/>
  <c r="Q80" i="13" s="1"/>
  <c r="D23" i="13"/>
  <c r="D43" i="13" s="1"/>
  <c r="N80" i="13" s="1"/>
  <c r="H23" i="13"/>
  <c r="H43" i="13" s="1"/>
  <c r="R80" i="13" s="1"/>
  <c r="G22" i="13"/>
  <c r="H22" i="13"/>
  <c r="E22" i="13"/>
  <c r="C22" i="13"/>
  <c r="D22" i="13"/>
  <c r="F22" i="13"/>
  <c r="D17" i="12"/>
  <c r="D18" i="12" s="1"/>
  <c r="D20" i="12" s="1"/>
  <c r="E14" i="12"/>
  <c r="F14" i="12" s="1"/>
  <c r="C14" i="12"/>
  <c r="C17" i="12" s="1"/>
  <c r="C18" i="12" s="1"/>
  <c r="C6" i="12"/>
  <c r="D4" i="12"/>
  <c r="C20" i="12" l="1"/>
  <c r="F18" i="12"/>
  <c r="C36" i="11"/>
  <c r="D36" i="11"/>
  <c r="E36" i="11"/>
  <c r="F36" i="11"/>
  <c r="G36" i="11"/>
  <c r="H36" i="11"/>
  <c r="C37" i="11"/>
  <c r="D37" i="11"/>
  <c r="E37" i="11"/>
  <c r="F37" i="11"/>
  <c r="G37" i="11"/>
  <c r="H37" i="11"/>
  <c r="C38" i="11"/>
  <c r="D38" i="11"/>
  <c r="E38" i="11"/>
  <c r="F38" i="11"/>
  <c r="G38" i="11"/>
  <c r="H38" i="11"/>
  <c r="D35" i="11"/>
  <c r="E35" i="11"/>
  <c r="F35" i="11"/>
  <c r="G35" i="11"/>
  <c r="H35" i="11"/>
  <c r="C35" i="11"/>
  <c r="C19" i="11"/>
  <c r="D19" i="11"/>
  <c r="E19" i="11"/>
  <c r="F19" i="11"/>
  <c r="G19" i="11"/>
  <c r="H19" i="11"/>
  <c r="C20" i="11"/>
  <c r="D20" i="11"/>
  <c r="E20" i="11"/>
  <c r="F20" i="11"/>
  <c r="G20" i="11"/>
  <c r="H20" i="11"/>
  <c r="D18" i="11"/>
  <c r="E18" i="11"/>
  <c r="F18" i="11"/>
  <c r="G18" i="11"/>
  <c r="H18" i="11"/>
  <c r="C18" i="11"/>
  <c r="H28" i="11"/>
  <c r="H85" i="11" s="1"/>
  <c r="H90" i="11" s="1"/>
  <c r="G28" i="11"/>
  <c r="G85" i="11" s="1"/>
  <c r="G90" i="11" s="1"/>
  <c r="F28" i="11"/>
  <c r="F85" i="11" s="1"/>
  <c r="F90" i="11" s="1"/>
  <c r="E28" i="11"/>
  <c r="E85" i="11" s="1"/>
  <c r="E90" i="11" s="1"/>
  <c r="D28" i="11"/>
  <c r="D85" i="11" s="1"/>
  <c r="D90" i="11" s="1"/>
  <c r="C28" i="11"/>
  <c r="C85" i="11" s="1"/>
  <c r="C90" i="11" s="1"/>
  <c r="C153" i="6" l="1"/>
  <c r="D150" i="6"/>
  <c r="E150" i="6"/>
  <c r="F150" i="6"/>
  <c r="G150" i="6"/>
  <c r="H150" i="6"/>
  <c r="C150" i="6"/>
  <c r="D149" i="6"/>
  <c r="E149" i="6"/>
  <c r="F149" i="6"/>
  <c r="G149" i="6"/>
  <c r="H149" i="6"/>
  <c r="C149" i="6"/>
  <c r="D148" i="6"/>
  <c r="E148" i="6"/>
  <c r="F148" i="6"/>
  <c r="G148" i="6"/>
  <c r="H148" i="6"/>
  <c r="C148" i="6"/>
  <c r="D121" i="6"/>
  <c r="E121" i="6"/>
  <c r="F121" i="6"/>
  <c r="C121" i="6"/>
  <c r="C81" i="6"/>
  <c r="D81" i="6"/>
  <c r="E81" i="6"/>
  <c r="F81" i="6"/>
  <c r="F75" i="6"/>
  <c r="C71" i="6"/>
  <c r="C72" i="6" s="1"/>
  <c r="G76" i="6" s="1"/>
  <c r="G81" i="6" s="1"/>
  <c r="G121" i="6" s="1"/>
  <c r="E77" i="6"/>
  <c r="D77" i="6"/>
  <c r="C77" i="6"/>
  <c r="A77" i="6"/>
  <c r="F77" i="6"/>
  <c r="E75" i="6"/>
  <c r="D75" i="6"/>
  <c r="C75" i="6"/>
  <c r="A75" i="6"/>
  <c r="D66" i="6"/>
  <c r="G68" i="6"/>
  <c r="F68" i="6"/>
  <c r="E68" i="6"/>
  <c r="D68" i="6"/>
  <c r="D82" i="6" s="1"/>
  <c r="C68" i="6"/>
  <c r="A68" i="6"/>
  <c r="G66" i="6"/>
  <c r="F66" i="6"/>
  <c r="E66" i="6"/>
  <c r="C66" i="6"/>
  <c r="C80" i="6" s="1"/>
  <c r="A66" i="6"/>
  <c r="C82" i="6" l="1"/>
  <c r="E82" i="6"/>
  <c r="D80" i="6"/>
  <c r="E80" i="6"/>
  <c r="C73" i="6"/>
  <c r="H76" i="6" s="1"/>
  <c r="H81" i="6" s="1"/>
  <c r="H121" i="6" s="1"/>
  <c r="F82" i="6"/>
  <c r="F80" i="6"/>
  <c r="G75" i="6"/>
  <c r="G80" i="6" s="1"/>
  <c r="G77" i="6"/>
  <c r="G82" i="6" s="1"/>
  <c r="H68" i="6"/>
  <c r="H66" i="6"/>
  <c r="D53" i="6"/>
  <c r="D120" i="6" s="1"/>
  <c r="E53" i="6"/>
  <c r="E120" i="6" s="1"/>
  <c r="C53" i="6"/>
  <c r="C120" i="6" s="1"/>
  <c r="G48" i="6"/>
  <c r="G47" i="6" s="1"/>
  <c r="F48" i="6"/>
  <c r="F49" i="6" s="1"/>
  <c r="D44" i="6"/>
  <c r="E49" i="6"/>
  <c r="D49" i="6"/>
  <c r="C49" i="6"/>
  <c r="E47" i="6"/>
  <c r="D47" i="6"/>
  <c r="C47" i="6"/>
  <c r="H75" i="6" l="1"/>
  <c r="H80" i="6" s="1"/>
  <c r="H77" i="6"/>
  <c r="H82" i="6" s="1"/>
  <c r="G53" i="6"/>
  <c r="F53" i="6"/>
  <c r="H48" i="6"/>
  <c r="H49" i="6" s="1"/>
  <c r="G49" i="6"/>
  <c r="F47" i="6"/>
  <c r="H47" i="6" l="1"/>
  <c r="F120" i="6"/>
  <c r="G120" i="6"/>
  <c r="A49" i="6"/>
  <c r="A47" i="6"/>
  <c r="H38" i="6"/>
  <c r="H37" i="6" s="1"/>
  <c r="S142" i="1"/>
  <c r="M142" i="1"/>
  <c r="M119" i="1"/>
  <c r="R142" i="1"/>
  <c r="Q142" i="1"/>
  <c r="P142" i="1"/>
  <c r="O142" i="1"/>
  <c r="L142" i="1"/>
  <c r="K142" i="1"/>
  <c r="J142" i="1"/>
  <c r="I142" i="1"/>
  <c r="I130" i="1"/>
  <c r="H53" i="6" l="1"/>
  <c r="H52" i="6"/>
  <c r="H120" i="6"/>
  <c r="D83" i="7"/>
  <c r="G83" i="7"/>
  <c r="F39" i="8" l="1"/>
  <c r="G39" i="8"/>
  <c r="H39" i="8"/>
  <c r="E42" i="8"/>
  <c r="E39" i="8"/>
  <c r="H43" i="3"/>
  <c r="G43" i="3"/>
  <c r="F43" i="3"/>
  <c r="E43" i="3"/>
  <c r="G50" i="1" l="1"/>
  <c r="C68" i="1" s="1"/>
  <c r="C69" i="1" s="1"/>
  <c r="B98" i="1" l="1"/>
  <c r="B99" i="1" s="1"/>
  <c r="B103" i="1" s="1"/>
  <c r="B104" i="1" s="1"/>
  <c r="B101" i="1"/>
  <c r="B102" i="1" s="1"/>
  <c r="D8" i="10" l="1"/>
  <c r="D13" i="10" s="1"/>
  <c r="E8" i="10"/>
  <c r="F8" i="10"/>
  <c r="F13" i="10" s="1"/>
  <c r="G8" i="10"/>
  <c r="G13" i="10" s="1"/>
  <c r="H8" i="10"/>
  <c r="H13" i="10" s="1"/>
  <c r="C8" i="10"/>
  <c r="C13" i="10" s="1"/>
  <c r="D16" i="9"/>
  <c r="E16" i="9"/>
  <c r="F16" i="9"/>
  <c r="G16" i="9"/>
  <c r="H16" i="9"/>
  <c r="C16" i="9"/>
  <c r="D16" i="8"/>
  <c r="E16" i="8"/>
  <c r="F16" i="8"/>
  <c r="G16" i="8"/>
  <c r="H16" i="8"/>
  <c r="C16" i="8"/>
  <c r="E13" i="10"/>
  <c r="C106" i="8" l="1"/>
  <c r="C105" i="8"/>
  <c r="G31" i="7"/>
  <c r="G30" i="7"/>
  <c r="H150" i="9"/>
  <c r="G150" i="9"/>
  <c r="F150" i="9"/>
  <c r="E150" i="9"/>
  <c r="D150" i="9"/>
  <c r="C150" i="9"/>
  <c r="H149" i="9"/>
  <c r="G149" i="9"/>
  <c r="F149" i="9"/>
  <c r="E149" i="9"/>
  <c r="D149" i="9"/>
  <c r="C149" i="9"/>
  <c r="H148" i="9"/>
  <c r="G148" i="9"/>
  <c r="F148" i="9"/>
  <c r="E148" i="9"/>
  <c r="D148" i="9"/>
  <c r="C148" i="9"/>
  <c r="H147" i="9"/>
  <c r="G147" i="9"/>
  <c r="F147" i="9"/>
  <c r="E147" i="9"/>
  <c r="D147" i="9"/>
  <c r="C147" i="9"/>
  <c r="H146" i="9"/>
  <c r="G146" i="9"/>
  <c r="F146" i="9"/>
  <c r="E146" i="9"/>
  <c r="D146" i="9"/>
  <c r="C146" i="9"/>
  <c r="H116" i="9"/>
  <c r="H144" i="9" s="1"/>
  <c r="G116" i="9"/>
  <c r="G144" i="9" s="1"/>
  <c r="F116" i="9"/>
  <c r="F144" i="9" s="1"/>
  <c r="E116" i="9"/>
  <c r="E144" i="9" s="1"/>
  <c r="D116" i="9"/>
  <c r="D144" i="9" s="1"/>
  <c r="C116" i="9"/>
  <c r="C144" i="9" s="1"/>
  <c r="H106" i="9"/>
  <c r="G106" i="9"/>
  <c r="F106" i="9"/>
  <c r="C106" i="9"/>
  <c r="H105" i="9"/>
  <c r="G105" i="9"/>
  <c r="F105" i="9"/>
  <c r="E105" i="9"/>
  <c r="E106" i="9" s="1"/>
  <c r="D105" i="9"/>
  <c r="D106" i="9" s="1"/>
  <c r="C105" i="9"/>
  <c r="H101" i="9"/>
  <c r="G101" i="9"/>
  <c r="F101" i="9"/>
  <c r="E101" i="9"/>
  <c r="D101" i="9"/>
  <c r="C101" i="9"/>
  <c r="H91" i="9"/>
  <c r="G91" i="9"/>
  <c r="F91" i="9"/>
  <c r="E91" i="9"/>
  <c r="D91" i="9"/>
  <c r="C91" i="9"/>
  <c r="C145" i="9" s="1"/>
  <c r="H87" i="9"/>
  <c r="G87" i="9"/>
  <c r="F87" i="9"/>
  <c r="E87" i="9"/>
  <c r="D87" i="9"/>
  <c r="C87" i="9"/>
  <c r="M84" i="9"/>
  <c r="H43" i="9"/>
  <c r="G43" i="9"/>
  <c r="F43" i="9"/>
  <c r="E43" i="9"/>
  <c r="D43" i="9"/>
  <c r="C43" i="9"/>
  <c r="H21" i="9"/>
  <c r="H22" i="9" s="1"/>
  <c r="H68" i="9" s="1"/>
  <c r="G21" i="9"/>
  <c r="G22" i="9" s="1"/>
  <c r="G68" i="9" s="1"/>
  <c r="F21" i="9"/>
  <c r="F22" i="9" s="1"/>
  <c r="F68" i="9" s="1"/>
  <c r="E21" i="9"/>
  <c r="E22" i="9" s="1"/>
  <c r="E68" i="9" s="1"/>
  <c r="C21" i="9"/>
  <c r="C22" i="9" s="1"/>
  <c r="C68" i="9" s="1"/>
  <c r="D20" i="9"/>
  <c r="D21" i="9" s="1"/>
  <c r="D22" i="9" s="1"/>
  <c r="D68" i="9" s="1"/>
  <c r="C20" i="9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16" i="8"/>
  <c r="H144" i="8" s="1"/>
  <c r="G116" i="8"/>
  <c r="G144" i="8" s="1"/>
  <c r="F116" i="8"/>
  <c r="F144" i="8" s="1"/>
  <c r="E116" i="8"/>
  <c r="E144" i="8" s="1"/>
  <c r="D116" i="8"/>
  <c r="D144" i="8" s="1"/>
  <c r="C116" i="8"/>
  <c r="C144" i="8" s="1"/>
  <c r="F106" i="8"/>
  <c r="H105" i="8"/>
  <c r="H106" i="8" s="1"/>
  <c r="G105" i="8"/>
  <c r="G106" i="8" s="1"/>
  <c r="F105" i="8"/>
  <c r="E105" i="8"/>
  <c r="E106" i="8" s="1"/>
  <c r="D105" i="8"/>
  <c r="D106" i="8" s="1"/>
  <c r="H101" i="8"/>
  <c r="G101" i="8"/>
  <c r="F101" i="8"/>
  <c r="E101" i="8"/>
  <c r="D101" i="8"/>
  <c r="C101" i="8"/>
  <c r="H91" i="8"/>
  <c r="G91" i="8"/>
  <c r="F91" i="8"/>
  <c r="E91" i="8"/>
  <c r="D91" i="8"/>
  <c r="C91" i="8"/>
  <c r="H87" i="8"/>
  <c r="G87" i="8"/>
  <c r="F87" i="8"/>
  <c r="E87" i="8"/>
  <c r="D87" i="8"/>
  <c r="C87" i="8"/>
  <c r="M84" i="8"/>
  <c r="H43" i="8"/>
  <c r="G43" i="8"/>
  <c r="F43" i="8"/>
  <c r="E43" i="8"/>
  <c r="D43" i="8"/>
  <c r="C43" i="8"/>
  <c r="H21" i="8"/>
  <c r="H22" i="8" s="1"/>
  <c r="H68" i="8" s="1"/>
  <c r="G21" i="8"/>
  <c r="G22" i="8" s="1"/>
  <c r="G68" i="8" s="1"/>
  <c r="F21" i="8"/>
  <c r="F22" i="8" s="1"/>
  <c r="F68" i="8" s="1"/>
  <c r="E21" i="8"/>
  <c r="E22" i="8" s="1"/>
  <c r="E68" i="8" s="1"/>
  <c r="C21" i="8"/>
  <c r="C22" i="8" s="1"/>
  <c r="C68" i="8" s="1"/>
  <c r="D20" i="8"/>
  <c r="D21" i="8" s="1"/>
  <c r="D22" i="8" s="1"/>
  <c r="D68" i="8" s="1"/>
  <c r="C20" i="8"/>
  <c r="F96" i="6"/>
  <c r="F94" i="6" s="1"/>
  <c r="A95" i="6"/>
  <c r="C95" i="6"/>
  <c r="C122" i="6" s="1"/>
  <c r="D95" i="6"/>
  <c r="D122" i="6" s="1"/>
  <c r="E95" i="6"/>
  <c r="E122" i="6" s="1"/>
  <c r="G95" i="6"/>
  <c r="G122" i="6" s="1"/>
  <c r="H95" i="6"/>
  <c r="H122" i="6" s="1"/>
  <c r="C94" i="6"/>
  <c r="D94" i="6"/>
  <c r="E94" i="6"/>
  <c r="G94" i="6"/>
  <c r="H94" i="6"/>
  <c r="E220" i="1"/>
  <c r="D220" i="1"/>
  <c r="F95" i="6" l="1"/>
  <c r="F122" i="6" s="1"/>
  <c r="G51" i="9"/>
  <c r="G51" i="8"/>
  <c r="G58" i="8" s="1"/>
  <c r="F145" i="8"/>
  <c r="F97" i="8"/>
  <c r="F121" i="8" s="1"/>
  <c r="G97" i="8"/>
  <c r="G121" i="8" s="1"/>
  <c r="E145" i="9"/>
  <c r="E97" i="9"/>
  <c r="E121" i="9" s="1"/>
  <c r="G97" i="9"/>
  <c r="G121" i="9" s="1"/>
  <c r="D97" i="9"/>
  <c r="D121" i="9" s="1"/>
  <c r="H97" i="8"/>
  <c r="H121" i="8" s="1"/>
  <c r="F145" i="9"/>
  <c r="F97" i="9"/>
  <c r="F121" i="9" s="1"/>
  <c r="H145" i="9"/>
  <c r="H97" i="9"/>
  <c r="H121" i="9" s="1"/>
  <c r="D97" i="8"/>
  <c r="D121" i="8" s="1"/>
  <c r="C97" i="8"/>
  <c r="C121" i="8" s="1"/>
  <c r="E145" i="8"/>
  <c r="E97" i="8"/>
  <c r="E121" i="8" s="1"/>
  <c r="C97" i="9"/>
  <c r="C121" i="9" s="1"/>
  <c r="H53" i="9"/>
  <c r="H66" i="9" s="1"/>
  <c r="H107" i="9"/>
  <c r="H108" i="9" s="1"/>
  <c r="H145" i="8"/>
  <c r="C145" i="8"/>
  <c r="G145" i="9"/>
  <c r="D107" i="9"/>
  <c r="D51" i="9"/>
  <c r="D23" i="9"/>
  <c r="D49" i="9" s="1"/>
  <c r="D53" i="9"/>
  <c r="D66" i="9" s="1"/>
  <c r="D29" i="9"/>
  <c r="D25" i="9"/>
  <c r="D26" i="9" s="1"/>
  <c r="D67" i="9" s="1"/>
  <c r="D24" i="9"/>
  <c r="F51" i="9"/>
  <c r="F24" i="9"/>
  <c r="F29" i="9"/>
  <c r="F25" i="9"/>
  <c r="F26" i="9" s="1"/>
  <c r="F67" i="9" s="1"/>
  <c r="F23" i="9"/>
  <c r="F53" i="9"/>
  <c r="F66" i="9" s="1"/>
  <c r="F107" i="9"/>
  <c r="C23" i="9"/>
  <c r="C107" i="9"/>
  <c r="C108" i="9" s="1"/>
  <c r="C51" i="9"/>
  <c r="C24" i="9"/>
  <c r="C53" i="9"/>
  <c r="C66" i="9" s="1"/>
  <c r="C29" i="9"/>
  <c r="C25" i="9"/>
  <c r="C26" i="9" s="1"/>
  <c r="C67" i="9" s="1"/>
  <c r="E23" i="9"/>
  <c r="E49" i="9" s="1"/>
  <c r="E51" i="9"/>
  <c r="E24" i="9"/>
  <c r="E53" i="9"/>
  <c r="E66" i="9" s="1"/>
  <c r="E29" i="9"/>
  <c r="E25" i="9"/>
  <c r="E26" i="9" s="1"/>
  <c r="E67" i="9" s="1"/>
  <c r="E107" i="9"/>
  <c r="H24" i="9"/>
  <c r="G23" i="9"/>
  <c r="G49" i="9" s="1"/>
  <c r="H51" i="9"/>
  <c r="H23" i="9"/>
  <c r="H49" i="9" s="1"/>
  <c r="G107" i="9"/>
  <c r="G108" i="9" s="1"/>
  <c r="G25" i="9"/>
  <c r="G26" i="9" s="1"/>
  <c r="G67" i="9" s="1"/>
  <c r="H25" i="9"/>
  <c r="H26" i="9" s="1"/>
  <c r="H67" i="9" s="1"/>
  <c r="H29" i="9"/>
  <c r="G29" i="9"/>
  <c r="G53" i="9"/>
  <c r="G66" i="9" s="1"/>
  <c r="D145" i="9"/>
  <c r="G24" i="9"/>
  <c r="E23" i="8"/>
  <c r="E51" i="8"/>
  <c r="E24" i="8"/>
  <c r="E53" i="8"/>
  <c r="E66" i="8" s="1"/>
  <c r="E29" i="8"/>
  <c r="E107" i="8"/>
  <c r="E108" i="8" s="1"/>
  <c r="E25" i="8"/>
  <c r="E26" i="8" s="1"/>
  <c r="E67" i="8" s="1"/>
  <c r="C107" i="8"/>
  <c r="C108" i="8" s="1"/>
  <c r="C51" i="8"/>
  <c r="C23" i="8"/>
  <c r="C49" i="8" s="1"/>
  <c r="C53" i="8"/>
  <c r="C66" i="8" s="1"/>
  <c r="C29" i="8"/>
  <c r="C25" i="8"/>
  <c r="C26" i="8" s="1"/>
  <c r="C67" i="8" s="1"/>
  <c r="C24" i="8"/>
  <c r="F51" i="8"/>
  <c r="F24" i="8"/>
  <c r="F53" i="8"/>
  <c r="F66" i="8" s="1"/>
  <c r="F29" i="8"/>
  <c r="F25" i="8"/>
  <c r="F26" i="8" s="1"/>
  <c r="F67" i="8" s="1"/>
  <c r="F23" i="8"/>
  <c r="F107" i="8"/>
  <c r="F108" i="8" s="1"/>
  <c r="H53" i="8"/>
  <c r="H66" i="8" s="1"/>
  <c r="H29" i="8"/>
  <c r="H25" i="8"/>
  <c r="H26" i="8" s="1"/>
  <c r="H67" i="8" s="1"/>
  <c r="H23" i="8"/>
  <c r="H49" i="8" s="1"/>
  <c r="H51" i="8"/>
  <c r="H107" i="8"/>
  <c r="H24" i="8"/>
  <c r="D107" i="8"/>
  <c r="D23" i="8"/>
  <c r="D49" i="8" s="1"/>
  <c r="D51" i="8"/>
  <c r="D24" i="8"/>
  <c r="D53" i="8"/>
  <c r="D66" i="8" s="1"/>
  <c r="D29" i="8"/>
  <c r="D25" i="8"/>
  <c r="D26" i="8" s="1"/>
  <c r="D67" i="8" s="1"/>
  <c r="G145" i="8"/>
  <c r="G23" i="8"/>
  <c r="G107" i="8"/>
  <c r="G108" i="8" s="1"/>
  <c r="G25" i="8"/>
  <c r="G26" i="8" s="1"/>
  <c r="G67" i="8" s="1"/>
  <c r="G29" i="8"/>
  <c r="G53" i="8"/>
  <c r="G66" i="8" s="1"/>
  <c r="D145" i="8"/>
  <c r="G24" i="8"/>
  <c r="A114" i="6"/>
  <c r="A112" i="6"/>
  <c r="A94" i="6"/>
  <c r="A39" i="6"/>
  <c r="A37" i="6"/>
  <c r="C37" i="6"/>
  <c r="C52" i="6" s="1"/>
  <c r="D39" i="6"/>
  <c r="D54" i="6" s="1"/>
  <c r="E39" i="6"/>
  <c r="E54" i="6" s="1"/>
  <c r="F39" i="6"/>
  <c r="F54" i="6" s="1"/>
  <c r="G39" i="6"/>
  <c r="G54" i="6" s="1"/>
  <c r="C39" i="6"/>
  <c r="C54" i="6" s="1"/>
  <c r="D37" i="6"/>
  <c r="D52" i="6" s="1"/>
  <c r="E37" i="6"/>
  <c r="E52" i="6" s="1"/>
  <c r="F37" i="6"/>
  <c r="F52" i="6" s="1"/>
  <c r="G37" i="6"/>
  <c r="G52" i="6" s="1"/>
  <c r="G58" i="9" l="1"/>
  <c r="G60" i="9" s="1"/>
  <c r="G65" i="8"/>
  <c r="G69" i="8" s="1"/>
  <c r="G117" i="8" s="1"/>
  <c r="H109" i="9"/>
  <c r="H109" i="8"/>
  <c r="H108" i="8"/>
  <c r="G73" i="8"/>
  <c r="G28" i="9"/>
  <c r="G72" i="9"/>
  <c r="G27" i="9"/>
  <c r="E58" i="9"/>
  <c r="E73" i="9" s="1"/>
  <c r="F28" i="9"/>
  <c r="F72" i="9"/>
  <c r="F27" i="9"/>
  <c r="E45" i="9"/>
  <c r="E46" i="9"/>
  <c r="E47" i="9"/>
  <c r="E48" i="9"/>
  <c r="C48" i="9"/>
  <c r="C49" i="9"/>
  <c r="C45" i="9"/>
  <c r="C46" i="9"/>
  <c r="C47" i="9"/>
  <c r="D45" i="9"/>
  <c r="D47" i="9"/>
  <c r="D48" i="9"/>
  <c r="D46" i="9"/>
  <c r="C27" i="9"/>
  <c r="C28" i="9"/>
  <c r="C72" i="9"/>
  <c r="D109" i="9"/>
  <c r="D108" i="9"/>
  <c r="H58" i="9"/>
  <c r="H73" i="9" s="1"/>
  <c r="C109" i="9"/>
  <c r="F108" i="9"/>
  <c r="F109" i="9"/>
  <c r="D58" i="9"/>
  <c r="D60" i="9" s="1"/>
  <c r="E108" i="9"/>
  <c r="E109" i="9"/>
  <c r="F58" i="9"/>
  <c r="F60" i="9" s="1"/>
  <c r="E27" i="9"/>
  <c r="E28" i="9"/>
  <c r="E72" i="9"/>
  <c r="D27" i="9"/>
  <c r="D72" i="9"/>
  <c r="D28" i="9"/>
  <c r="H47" i="9"/>
  <c r="H48" i="9"/>
  <c r="H45" i="9"/>
  <c r="H46" i="9"/>
  <c r="H72" i="9"/>
  <c r="H27" i="9"/>
  <c r="H28" i="9"/>
  <c r="G46" i="9"/>
  <c r="G47" i="9"/>
  <c r="G45" i="9"/>
  <c r="G48" i="9"/>
  <c r="C58" i="9"/>
  <c r="C73" i="9" s="1"/>
  <c r="F46" i="9"/>
  <c r="F48" i="9"/>
  <c r="F45" i="9"/>
  <c r="F49" i="9"/>
  <c r="F47" i="9"/>
  <c r="G109" i="9"/>
  <c r="G110" i="9" s="1"/>
  <c r="D108" i="8"/>
  <c r="D109" i="8"/>
  <c r="C27" i="8"/>
  <c r="C72" i="8"/>
  <c r="C28" i="8"/>
  <c r="D27" i="8"/>
  <c r="D28" i="8"/>
  <c r="D72" i="8"/>
  <c r="F46" i="8"/>
  <c r="F47" i="8"/>
  <c r="F48" i="8"/>
  <c r="F45" i="8"/>
  <c r="F49" i="8"/>
  <c r="F109" i="8"/>
  <c r="C58" i="8"/>
  <c r="C60" i="8" s="1"/>
  <c r="E45" i="8"/>
  <c r="E46" i="8"/>
  <c r="E48" i="8"/>
  <c r="E47" i="8"/>
  <c r="H58" i="8"/>
  <c r="H60" i="8" s="1"/>
  <c r="G109" i="8"/>
  <c r="C48" i="8"/>
  <c r="C45" i="8"/>
  <c r="C47" i="8"/>
  <c r="C46" i="8"/>
  <c r="H72" i="8"/>
  <c r="H27" i="8"/>
  <c r="H28" i="8"/>
  <c r="G46" i="8"/>
  <c r="G47" i="8"/>
  <c r="G48" i="8"/>
  <c r="G45" i="8"/>
  <c r="D58" i="8"/>
  <c r="D60" i="8" s="1"/>
  <c r="E109" i="8"/>
  <c r="E110" i="8" s="1"/>
  <c r="C109" i="8"/>
  <c r="G28" i="8"/>
  <c r="G72" i="8"/>
  <c r="G60" i="8"/>
  <c r="G27" i="8"/>
  <c r="F28" i="8"/>
  <c r="F72" i="8"/>
  <c r="F27" i="8"/>
  <c r="H47" i="8"/>
  <c r="H48" i="8"/>
  <c r="H45" i="8"/>
  <c r="H46" i="8"/>
  <c r="E58" i="8"/>
  <c r="E73" i="8" s="1"/>
  <c r="D45" i="8"/>
  <c r="D46" i="8"/>
  <c r="D47" i="8"/>
  <c r="D48" i="8"/>
  <c r="G49" i="8"/>
  <c r="F58" i="8"/>
  <c r="F60" i="8" s="1"/>
  <c r="E27" i="8"/>
  <c r="E28" i="8"/>
  <c r="E72" i="8"/>
  <c r="E49" i="8"/>
  <c r="H39" i="6"/>
  <c r="H54" i="6" s="1"/>
  <c r="D113" i="6"/>
  <c r="E113" i="6"/>
  <c r="C113" i="6"/>
  <c r="D119" i="6"/>
  <c r="D147" i="6" s="1"/>
  <c r="D152" i="6" s="1"/>
  <c r="E119" i="6"/>
  <c r="E147" i="6" s="1"/>
  <c r="E152" i="6" s="1"/>
  <c r="F119" i="6"/>
  <c r="F147" i="6" s="1"/>
  <c r="F152" i="6" s="1"/>
  <c r="G119" i="6"/>
  <c r="G147" i="6" s="1"/>
  <c r="G152" i="6" s="1"/>
  <c r="H119" i="6"/>
  <c r="H147" i="6" s="1"/>
  <c r="H152" i="6" s="1"/>
  <c r="C119" i="6"/>
  <c r="C147" i="6" s="1"/>
  <c r="C152" i="6" s="1"/>
  <c r="G82" i="7"/>
  <c r="D82" i="7"/>
  <c r="G40" i="7"/>
  <c r="G41" i="7" s="1"/>
  <c r="F113" i="6" s="1"/>
  <c r="D28" i="7"/>
  <c r="D40" i="7" s="1"/>
  <c r="D41" i="7" s="1"/>
  <c r="G65" i="9" l="1"/>
  <c r="G69" i="9" s="1"/>
  <c r="G117" i="9" s="1"/>
  <c r="D65" i="9"/>
  <c r="D69" i="9" s="1"/>
  <c r="D117" i="9" s="1"/>
  <c r="H65" i="9"/>
  <c r="H69" i="9" s="1"/>
  <c r="H117" i="9" s="1"/>
  <c r="C65" i="9"/>
  <c r="C69" i="9" s="1"/>
  <c r="C117" i="9" s="1"/>
  <c r="C65" i="8"/>
  <c r="C69" i="8" s="1"/>
  <c r="C117" i="8" s="1"/>
  <c r="D65" i="8"/>
  <c r="D69" i="8" s="1"/>
  <c r="D117" i="8" s="1"/>
  <c r="G73" i="9"/>
  <c r="F65" i="9"/>
  <c r="F69" i="9" s="1"/>
  <c r="F117" i="9" s="1"/>
  <c r="E65" i="9"/>
  <c r="E69" i="9" s="1"/>
  <c r="E117" i="9" s="1"/>
  <c r="H65" i="8"/>
  <c r="H69" i="8" s="1"/>
  <c r="H117" i="8" s="1"/>
  <c r="F65" i="8"/>
  <c r="F69" i="8" s="1"/>
  <c r="F117" i="8" s="1"/>
  <c r="E65" i="8"/>
  <c r="E69" i="8" s="1"/>
  <c r="E117" i="8" s="1"/>
  <c r="G110" i="8"/>
  <c r="H110" i="8"/>
  <c r="C60" i="9"/>
  <c r="H110" i="9"/>
  <c r="C110" i="9"/>
  <c r="C73" i="8"/>
  <c r="H60" i="9"/>
  <c r="H113" i="6"/>
  <c r="G113" i="6"/>
  <c r="F110" i="8"/>
  <c r="E60" i="8"/>
  <c r="H73" i="8"/>
  <c r="F73" i="8"/>
  <c r="D73" i="9"/>
  <c r="F110" i="9"/>
  <c r="F73" i="9"/>
  <c r="E60" i="9"/>
  <c r="E110" i="9"/>
  <c r="D110" i="9"/>
  <c r="D73" i="8"/>
  <c r="C110" i="8"/>
  <c r="D110" i="8"/>
  <c r="C123" i="6"/>
  <c r="C112" i="6"/>
  <c r="C114" i="6"/>
  <c r="C155" i="6" s="1"/>
  <c r="E123" i="6"/>
  <c r="E112" i="6"/>
  <c r="E114" i="6"/>
  <c r="F123" i="6"/>
  <c r="F112" i="6"/>
  <c r="F114" i="6"/>
  <c r="D123" i="6"/>
  <c r="D112" i="6"/>
  <c r="D114" i="6"/>
  <c r="D210" i="1"/>
  <c r="C20" i="3"/>
  <c r="C21" i="3" s="1"/>
  <c r="C22" i="3" s="1"/>
  <c r="D20" i="3"/>
  <c r="D21" i="3" s="1"/>
  <c r="D22" i="3" s="1"/>
  <c r="D68" i="3" s="1"/>
  <c r="E22" i="3"/>
  <c r="E68" i="3" s="1"/>
  <c r="F21" i="3"/>
  <c r="F22" i="3" s="1"/>
  <c r="F68" i="3" s="1"/>
  <c r="G21" i="3"/>
  <c r="G22" i="3" s="1"/>
  <c r="G68" i="3" s="1"/>
  <c r="H21" i="3"/>
  <c r="H22" i="3" s="1"/>
  <c r="H68" i="3" s="1"/>
  <c r="C43" i="3"/>
  <c r="D43" i="3"/>
  <c r="M84" i="3"/>
  <c r="C87" i="3"/>
  <c r="D87" i="3"/>
  <c r="E87" i="3"/>
  <c r="F87" i="3"/>
  <c r="G87" i="3"/>
  <c r="H87" i="3"/>
  <c r="C91" i="3"/>
  <c r="D91" i="3"/>
  <c r="E91" i="3"/>
  <c r="F91" i="3"/>
  <c r="G91" i="3"/>
  <c r="H91" i="3"/>
  <c r="C101" i="3"/>
  <c r="D101" i="3"/>
  <c r="E101" i="3"/>
  <c r="F101" i="3"/>
  <c r="G101" i="3"/>
  <c r="H101" i="3"/>
  <c r="C105" i="3"/>
  <c r="C106" i="3" s="1"/>
  <c r="D105" i="3"/>
  <c r="D106" i="3" s="1"/>
  <c r="E105" i="3"/>
  <c r="E106" i="3" s="1"/>
  <c r="F105" i="3"/>
  <c r="F106" i="3" s="1"/>
  <c r="G105" i="3"/>
  <c r="G106" i="3" s="1"/>
  <c r="H105" i="3"/>
  <c r="H106" i="3" s="1"/>
  <c r="C51" i="3" l="1"/>
  <c r="C68" i="3"/>
  <c r="C107" i="3"/>
  <c r="C108" i="3" s="1"/>
  <c r="E155" i="6"/>
  <c r="F155" i="6"/>
  <c r="E154" i="6"/>
  <c r="D155" i="6"/>
  <c r="D153" i="6"/>
  <c r="F154" i="6"/>
  <c r="C154" i="6"/>
  <c r="E97" i="3"/>
  <c r="E121" i="3" s="1"/>
  <c r="D97" i="3"/>
  <c r="D121" i="3" s="1"/>
  <c r="H97" i="3"/>
  <c r="H121" i="3" s="1"/>
  <c r="G97" i="3"/>
  <c r="G121" i="3" s="1"/>
  <c r="F97" i="3"/>
  <c r="F121" i="3" s="1"/>
  <c r="C97" i="3"/>
  <c r="C121" i="3" s="1"/>
  <c r="H114" i="6"/>
  <c r="C156" i="6"/>
  <c r="H112" i="6"/>
  <c r="G112" i="6"/>
  <c r="G114" i="6"/>
  <c r="G123" i="6"/>
  <c r="H123" i="6"/>
  <c r="G145" i="3"/>
  <c r="F145" i="3"/>
  <c r="H145" i="3"/>
  <c r="D145" i="3"/>
  <c r="C145" i="3"/>
  <c r="G24" i="3"/>
  <c r="G53" i="3"/>
  <c r="G66" i="3" s="1"/>
  <c r="G25" i="3"/>
  <c r="G26" i="3" s="1"/>
  <c r="G67" i="3" s="1"/>
  <c r="G23" i="3"/>
  <c r="G51" i="3"/>
  <c r="G29" i="3"/>
  <c r="G107" i="3"/>
  <c r="G108" i="3" s="1"/>
  <c r="F53" i="3"/>
  <c r="F66" i="3" s="1"/>
  <c r="F23" i="3"/>
  <c r="F49" i="3" s="1"/>
  <c r="F51" i="3"/>
  <c r="F29" i="3"/>
  <c r="F107" i="3"/>
  <c r="F108" i="3" s="1"/>
  <c r="F25" i="3"/>
  <c r="F26" i="3" s="1"/>
  <c r="F67" i="3" s="1"/>
  <c r="F24" i="3"/>
  <c r="E23" i="3"/>
  <c r="E51" i="3"/>
  <c r="E24" i="3"/>
  <c r="E107" i="3"/>
  <c r="E53" i="3"/>
  <c r="E66" i="3" s="1"/>
  <c r="E25" i="3"/>
  <c r="E26" i="3" s="1"/>
  <c r="E67" i="3" s="1"/>
  <c r="E29" i="3"/>
  <c r="D107" i="3"/>
  <c r="D23" i="3"/>
  <c r="D51" i="3"/>
  <c r="D24" i="3"/>
  <c r="D53" i="3"/>
  <c r="D66" i="3" s="1"/>
  <c r="D25" i="3"/>
  <c r="D26" i="3" s="1"/>
  <c r="D67" i="3" s="1"/>
  <c r="D29" i="3"/>
  <c r="H107" i="3"/>
  <c r="H108" i="3" s="1"/>
  <c r="H25" i="3"/>
  <c r="H26" i="3" s="1"/>
  <c r="H67" i="3" s="1"/>
  <c r="H24" i="3"/>
  <c r="H53" i="3"/>
  <c r="H66" i="3" s="1"/>
  <c r="H23" i="3"/>
  <c r="H49" i="3" s="1"/>
  <c r="H51" i="3"/>
  <c r="H29" i="3"/>
  <c r="C25" i="3"/>
  <c r="C26" i="3" s="1"/>
  <c r="C29" i="3"/>
  <c r="C24" i="3"/>
  <c r="C53" i="3"/>
  <c r="C66" i="3" s="1"/>
  <c r="C23" i="3"/>
  <c r="C45" i="3" s="1"/>
  <c r="E145" i="3"/>
  <c r="E173" i="1"/>
  <c r="E174" i="1"/>
  <c r="E175" i="1"/>
  <c r="E92" i="3" s="1"/>
  <c r="E120" i="3" s="1"/>
  <c r="F37" i="13" l="1"/>
  <c r="P74" i="13" s="1"/>
  <c r="F33" i="11"/>
  <c r="P69" i="11" s="1"/>
  <c r="H37" i="13"/>
  <c r="R74" i="13" s="1"/>
  <c r="H33" i="11"/>
  <c r="R69" i="11" s="1"/>
  <c r="D37" i="13"/>
  <c r="N74" i="13" s="1"/>
  <c r="D33" i="11"/>
  <c r="N69" i="11" s="1"/>
  <c r="E37" i="13"/>
  <c r="O74" i="13" s="1"/>
  <c r="E33" i="11"/>
  <c r="O69" i="11" s="1"/>
  <c r="G37" i="13"/>
  <c r="Q74" i="13" s="1"/>
  <c r="G33" i="11"/>
  <c r="Q69" i="11" s="1"/>
  <c r="E36" i="13"/>
  <c r="O73" i="13" s="1"/>
  <c r="E32" i="11"/>
  <c r="O68" i="11" s="1"/>
  <c r="C37" i="13"/>
  <c r="M74" i="13" s="1"/>
  <c r="C33" i="11"/>
  <c r="M69" i="11" s="1"/>
  <c r="C67" i="3"/>
  <c r="D58" i="3"/>
  <c r="D60" i="3" s="1"/>
  <c r="D65" i="3"/>
  <c r="D69" i="3" s="1"/>
  <c r="F153" i="6"/>
  <c r="F156" i="6" s="1"/>
  <c r="D154" i="6"/>
  <c r="E153" i="6"/>
  <c r="E156" i="6" s="1"/>
  <c r="D156" i="6"/>
  <c r="H155" i="6"/>
  <c r="H153" i="6"/>
  <c r="G155" i="6"/>
  <c r="G154" i="6"/>
  <c r="G88" i="3"/>
  <c r="C88" i="9"/>
  <c r="G88" i="8"/>
  <c r="G88" i="9"/>
  <c r="D88" i="9"/>
  <c r="E88" i="8"/>
  <c r="H92" i="9"/>
  <c r="H120" i="9" s="1"/>
  <c r="F92" i="8"/>
  <c r="F120" i="8" s="1"/>
  <c r="C92" i="8"/>
  <c r="C120" i="8" s="1"/>
  <c r="C92" i="9"/>
  <c r="C120" i="9" s="1"/>
  <c r="E92" i="8"/>
  <c r="E120" i="8" s="1"/>
  <c r="H88" i="8"/>
  <c r="H92" i="8"/>
  <c r="H120" i="8" s="1"/>
  <c r="E92" i="9"/>
  <c r="E120" i="9" s="1"/>
  <c r="F88" i="8"/>
  <c r="H88" i="9"/>
  <c r="G92" i="8"/>
  <c r="G120" i="8" s="1"/>
  <c r="F92" i="9"/>
  <c r="F120" i="9" s="1"/>
  <c r="D92" i="8"/>
  <c r="D120" i="8" s="1"/>
  <c r="F88" i="9"/>
  <c r="D92" i="9"/>
  <c r="D120" i="9" s="1"/>
  <c r="E88" i="9"/>
  <c r="C88" i="8"/>
  <c r="G92" i="9"/>
  <c r="G120" i="9" s="1"/>
  <c r="D88" i="8"/>
  <c r="D92" i="3"/>
  <c r="D120" i="3" s="1"/>
  <c r="H58" i="3"/>
  <c r="H65" i="3" s="1"/>
  <c r="H69" i="3" s="1"/>
  <c r="H92" i="3"/>
  <c r="H120" i="3" s="1"/>
  <c r="H88" i="3"/>
  <c r="D88" i="3"/>
  <c r="F88" i="3"/>
  <c r="C92" i="3"/>
  <c r="C120" i="3" s="1"/>
  <c r="E88" i="3"/>
  <c r="F92" i="3"/>
  <c r="F120" i="3" s="1"/>
  <c r="G92" i="3"/>
  <c r="G120" i="3" s="1"/>
  <c r="C88" i="3"/>
  <c r="H109" i="3"/>
  <c r="D46" i="3"/>
  <c r="D45" i="3"/>
  <c r="D47" i="3"/>
  <c r="D48" i="3"/>
  <c r="D49" i="3"/>
  <c r="E46" i="3"/>
  <c r="E45" i="3"/>
  <c r="E47" i="3"/>
  <c r="E48" i="3"/>
  <c r="E49" i="3"/>
  <c r="C48" i="3"/>
  <c r="C46" i="3"/>
  <c r="C47" i="3"/>
  <c r="H46" i="3"/>
  <c r="H48" i="3"/>
  <c r="H45" i="3"/>
  <c r="H47" i="3"/>
  <c r="F47" i="3"/>
  <c r="F46" i="3"/>
  <c r="F45" i="3"/>
  <c r="F48" i="3"/>
  <c r="C49" i="3"/>
  <c r="G109" i="3"/>
  <c r="G110" i="3" s="1"/>
  <c r="G48" i="3"/>
  <c r="G47" i="3"/>
  <c r="G46" i="3"/>
  <c r="G45" i="3"/>
  <c r="G49" i="3"/>
  <c r="D72" i="3"/>
  <c r="D27" i="3"/>
  <c r="D28" i="3"/>
  <c r="G58" i="3"/>
  <c r="G73" i="3" s="1"/>
  <c r="E109" i="3"/>
  <c r="E108" i="3"/>
  <c r="F58" i="3"/>
  <c r="F60" i="3" s="1"/>
  <c r="G28" i="3"/>
  <c r="G72" i="3"/>
  <c r="G27" i="3"/>
  <c r="E58" i="3"/>
  <c r="E60" i="3" s="1"/>
  <c r="C109" i="3"/>
  <c r="H28" i="3"/>
  <c r="H72" i="3"/>
  <c r="H27" i="3"/>
  <c r="D109" i="3"/>
  <c r="D108" i="3"/>
  <c r="F109" i="3"/>
  <c r="F110" i="3" s="1"/>
  <c r="C28" i="3"/>
  <c r="C72" i="3"/>
  <c r="C27" i="3"/>
  <c r="C58" i="3"/>
  <c r="C60" i="3" s="1"/>
  <c r="C73" i="3"/>
  <c r="E27" i="3"/>
  <c r="E72" i="3"/>
  <c r="E28" i="3"/>
  <c r="F28" i="3"/>
  <c r="F27" i="3"/>
  <c r="F72" i="3"/>
  <c r="I119" i="1"/>
  <c r="H36" i="13" l="1"/>
  <c r="R73" i="13" s="1"/>
  <c r="H32" i="11"/>
  <c r="R68" i="11" s="1"/>
  <c r="F36" i="13"/>
  <c r="P73" i="13" s="1"/>
  <c r="F32" i="11"/>
  <c r="P68" i="11" s="1"/>
  <c r="D36" i="13"/>
  <c r="N73" i="13" s="1"/>
  <c r="D32" i="11"/>
  <c r="N68" i="11" s="1"/>
  <c r="G36" i="13"/>
  <c r="Q73" i="13" s="1"/>
  <c r="G32" i="11"/>
  <c r="Q68" i="11" s="1"/>
  <c r="C36" i="13"/>
  <c r="M73" i="13" s="1"/>
  <c r="C32" i="11"/>
  <c r="M68" i="11" s="1"/>
  <c r="C65" i="3"/>
  <c r="C69" i="3" s="1"/>
  <c r="C117" i="3" s="1"/>
  <c r="E65" i="3"/>
  <c r="E69" i="3" s="1"/>
  <c r="H154" i="6"/>
  <c r="H156" i="6"/>
  <c r="G153" i="6"/>
  <c r="G156" i="6" s="1"/>
  <c r="F65" i="3"/>
  <c r="F69" i="3" s="1"/>
  <c r="G65" i="3"/>
  <c r="G69" i="3" s="1"/>
  <c r="H73" i="3"/>
  <c r="H111" i="3"/>
  <c r="H110" i="3"/>
  <c r="G60" i="3"/>
  <c r="H60" i="3"/>
  <c r="D110" i="3"/>
  <c r="E73" i="3"/>
  <c r="F73" i="3"/>
  <c r="E110" i="3"/>
  <c r="D73" i="3"/>
  <c r="C110" i="3"/>
  <c r="D149" i="3"/>
  <c r="E149" i="3"/>
  <c r="F149" i="3"/>
  <c r="G149" i="3"/>
  <c r="H149" i="3"/>
  <c r="D150" i="3"/>
  <c r="E150" i="3"/>
  <c r="F150" i="3"/>
  <c r="G150" i="3"/>
  <c r="H150" i="3"/>
  <c r="C150" i="3"/>
  <c r="C149" i="3"/>
  <c r="E35" i="1"/>
  <c r="G111" i="3" s="1"/>
  <c r="D147" i="3"/>
  <c r="E147" i="3"/>
  <c r="F147" i="3"/>
  <c r="G147" i="3"/>
  <c r="H147" i="3"/>
  <c r="C147" i="3"/>
  <c r="D146" i="3"/>
  <c r="E146" i="3"/>
  <c r="F146" i="3"/>
  <c r="G146" i="3"/>
  <c r="H146" i="3"/>
  <c r="D148" i="3"/>
  <c r="E148" i="3"/>
  <c r="F148" i="3"/>
  <c r="G148" i="3"/>
  <c r="H148" i="3"/>
  <c r="C148" i="3"/>
  <c r="C146" i="3"/>
  <c r="L130" i="1"/>
  <c r="J130" i="1"/>
  <c r="L119" i="1"/>
  <c r="K119" i="1"/>
  <c r="J119" i="1"/>
  <c r="K130" i="1"/>
  <c r="C33" i="13" l="1"/>
  <c r="C29" i="11"/>
  <c r="C111" i="3"/>
  <c r="E111" i="3"/>
  <c r="E111" i="8"/>
  <c r="E122" i="8" s="1"/>
  <c r="E111" i="9"/>
  <c r="E122" i="9" s="1"/>
  <c r="G111" i="8"/>
  <c r="G122" i="8" s="1"/>
  <c r="F111" i="8"/>
  <c r="F122" i="8" s="1"/>
  <c r="H111" i="9"/>
  <c r="H122" i="9" s="1"/>
  <c r="G111" i="9"/>
  <c r="G122" i="9" s="1"/>
  <c r="D111" i="8"/>
  <c r="D122" i="8" s="1"/>
  <c r="D111" i="9"/>
  <c r="D122" i="9" s="1"/>
  <c r="C111" i="8"/>
  <c r="C122" i="8" s="1"/>
  <c r="C111" i="9"/>
  <c r="C122" i="9" s="1"/>
  <c r="F111" i="9"/>
  <c r="F122" i="9" s="1"/>
  <c r="H111" i="8"/>
  <c r="H122" i="8" s="1"/>
  <c r="D111" i="3"/>
  <c r="F111" i="3"/>
  <c r="M130" i="1"/>
  <c r="M65" i="11" l="1"/>
  <c r="M70" i="13"/>
  <c r="E75" i="9"/>
  <c r="C75" i="9"/>
  <c r="E75" i="8"/>
  <c r="G75" i="8"/>
  <c r="H75" i="9"/>
  <c r="G75" i="9"/>
  <c r="F75" i="8"/>
  <c r="F75" i="9"/>
  <c r="H75" i="8"/>
  <c r="C75" i="8"/>
  <c r="D75" i="8"/>
  <c r="D75" i="9"/>
  <c r="C74" i="8"/>
  <c r="G74" i="8"/>
  <c r="E74" i="8"/>
  <c r="D74" i="9"/>
  <c r="H74" i="8"/>
  <c r="F74" i="8"/>
  <c r="F74" i="9"/>
  <c r="C74" i="9"/>
  <c r="H74" i="9"/>
  <c r="H76" i="9" s="1"/>
  <c r="H118" i="9" s="1"/>
  <c r="G74" i="9"/>
  <c r="G76" i="9" s="1"/>
  <c r="G118" i="9" s="1"/>
  <c r="D74" i="8"/>
  <c r="E74" i="9"/>
  <c r="C75" i="3"/>
  <c r="H75" i="3"/>
  <c r="G75" i="3"/>
  <c r="F74" i="3"/>
  <c r="E74" i="3"/>
  <c r="D74" i="3"/>
  <c r="G74" i="3"/>
  <c r="C74" i="3"/>
  <c r="H74" i="3"/>
  <c r="F75" i="3"/>
  <c r="D75" i="3"/>
  <c r="E75" i="3"/>
  <c r="D117" i="3"/>
  <c r="F117" i="3"/>
  <c r="E117" i="3"/>
  <c r="G117" i="3"/>
  <c r="H117" i="3"/>
  <c r="D116" i="3"/>
  <c r="D144" i="3" s="1"/>
  <c r="E116" i="3"/>
  <c r="E144" i="3" s="1"/>
  <c r="F116" i="3"/>
  <c r="F144" i="3" s="1"/>
  <c r="G116" i="3"/>
  <c r="G144" i="3" s="1"/>
  <c r="H116" i="3"/>
  <c r="H144" i="3" s="1"/>
  <c r="C116" i="3"/>
  <c r="C144" i="3" s="1"/>
  <c r="E33" i="13" l="1"/>
  <c r="E29" i="11"/>
  <c r="H33" i="13"/>
  <c r="H29" i="11"/>
  <c r="F33" i="13"/>
  <c r="F29" i="11"/>
  <c r="G33" i="13"/>
  <c r="G29" i="11"/>
  <c r="D33" i="13"/>
  <c r="D29" i="11"/>
  <c r="E76" i="9"/>
  <c r="E118" i="9" s="1"/>
  <c r="F76" i="8"/>
  <c r="F118" i="8" s="1"/>
  <c r="F76" i="9"/>
  <c r="F118" i="9" s="1"/>
  <c r="E76" i="8"/>
  <c r="E118" i="8" s="1"/>
  <c r="G76" i="8"/>
  <c r="G118" i="8" s="1"/>
  <c r="C76" i="9"/>
  <c r="C118" i="9" s="1"/>
  <c r="D76" i="9"/>
  <c r="D118" i="9" s="1"/>
  <c r="D76" i="8"/>
  <c r="D118" i="8" s="1"/>
  <c r="C76" i="8"/>
  <c r="C118" i="8" s="1"/>
  <c r="H76" i="8"/>
  <c r="H118" i="8" s="1"/>
  <c r="C76" i="3"/>
  <c r="G76" i="3"/>
  <c r="E76" i="3"/>
  <c r="D76" i="3"/>
  <c r="F76" i="3"/>
  <c r="H76" i="3"/>
  <c r="H122" i="3"/>
  <c r="D122" i="3"/>
  <c r="E124" i="1"/>
  <c r="D38" i="13" l="1"/>
  <c r="N75" i="13" s="1"/>
  <c r="D34" i="11"/>
  <c r="N70" i="11" s="1"/>
  <c r="P65" i="11"/>
  <c r="H38" i="13"/>
  <c r="R75" i="13" s="1"/>
  <c r="H34" i="11"/>
  <c r="R70" i="11" s="1"/>
  <c r="N65" i="11"/>
  <c r="R70" i="13"/>
  <c r="N70" i="13"/>
  <c r="O65" i="11"/>
  <c r="Q70" i="13"/>
  <c r="P70" i="13"/>
  <c r="R65" i="11"/>
  <c r="Q65" i="11"/>
  <c r="O70" i="13"/>
  <c r="G79" i="8"/>
  <c r="G119" i="8" s="1"/>
  <c r="G123" i="8" s="1"/>
  <c r="F79" i="8"/>
  <c r="F119" i="8" s="1"/>
  <c r="F123" i="8" s="1"/>
  <c r="F79" i="9"/>
  <c r="F119" i="9" s="1"/>
  <c r="F123" i="9" s="1"/>
  <c r="D79" i="8"/>
  <c r="D119" i="8" s="1"/>
  <c r="D123" i="8" s="1"/>
  <c r="D79" i="9"/>
  <c r="D119" i="9" s="1"/>
  <c r="D123" i="9" s="1"/>
  <c r="G79" i="9"/>
  <c r="G119" i="9" s="1"/>
  <c r="G123" i="9" s="1"/>
  <c r="H79" i="8"/>
  <c r="H119" i="8" s="1"/>
  <c r="H123" i="8" s="1"/>
  <c r="C79" i="8"/>
  <c r="C119" i="8" s="1"/>
  <c r="C123" i="8" s="1"/>
  <c r="C79" i="9"/>
  <c r="C119" i="9" s="1"/>
  <c r="C123" i="9" s="1"/>
  <c r="E79" i="9"/>
  <c r="E119" i="9" s="1"/>
  <c r="E123" i="9" s="1"/>
  <c r="H79" i="9"/>
  <c r="H119" i="9" s="1"/>
  <c r="E79" i="8"/>
  <c r="E119" i="8" s="1"/>
  <c r="E123" i="8" s="1"/>
  <c r="C79" i="3"/>
  <c r="E79" i="3"/>
  <c r="D79" i="3"/>
  <c r="F79" i="3"/>
  <c r="H79" i="3"/>
  <c r="G79" i="3"/>
  <c r="E122" i="3"/>
  <c r="G122" i="3"/>
  <c r="F122" i="3"/>
  <c r="C122" i="3"/>
  <c r="H118" i="3"/>
  <c r="H9" i="10" l="1"/>
  <c r="H14" i="10" s="1"/>
  <c r="H14" i="13"/>
  <c r="H26" i="13" s="1"/>
  <c r="H91" i="13" s="1"/>
  <c r="H14" i="11"/>
  <c r="H22" i="11" s="1"/>
  <c r="H86" i="11" s="1"/>
  <c r="D11" i="10"/>
  <c r="D16" i="13"/>
  <c r="D28" i="13" s="1"/>
  <c r="D93" i="13" s="1"/>
  <c r="D16" i="11"/>
  <c r="D24" i="11" s="1"/>
  <c r="D88" i="11" s="1"/>
  <c r="H34" i="13"/>
  <c r="H30" i="11"/>
  <c r="G11" i="10"/>
  <c r="G16" i="13"/>
  <c r="G28" i="13" s="1"/>
  <c r="G93" i="13" s="1"/>
  <c r="G16" i="11"/>
  <c r="G24" i="11" s="1"/>
  <c r="G88" i="11" s="1"/>
  <c r="E9" i="10"/>
  <c r="E14" i="10" s="1"/>
  <c r="E14" i="13"/>
  <c r="E26" i="13" s="1"/>
  <c r="E91" i="13" s="1"/>
  <c r="E14" i="11"/>
  <c r="E22" i="11" s="1"/>
  <c r="E86" i="11" s="1"/>
  <c r="E38" i="13"/>
  <c r="O75" i="13" s="1"/>
  <c r="E34" i="11"/>
  <c r="O70" i="11" s="1"/>
  <c r="H123" i="9"/>
  <c r="F11" i="10"/>
  <c r="F16" i="13"/>
  <c r="F28" i="13" s="1"/>
  <c r="F93" i="13" s="1"/>
  <c r="F16" i="11"/>
  <c r="F24" i="11" s="1"/>
  <c r="F88" i="11" s="1"/>
  <c r="C38" i="13"/>
  <c r="M75" i="13" s="1"/>
  <c r="C34" i="11"/>
  <c r="M70" i="11" s="1"/>
  <c r="G38" i="13"/>
  <c r="Q75" i="13" s="1"/>
  <c r="G34" i="11"/>
  <c r="Q70" i="11" s="1"/>
  <c r="E11" i="10"/>
  <c r="E16" i="13"/>
  <c r="E28" i="13" s="1"/>
  <c r="E93" i="13" s="1"/>
  <c r="E16" i="11"/>
  <c r="E24" i="11" s="1"/>
  <c r="E88" i="11" s="1"/>
  <c r="F9" i="10"/>
  <c r="F14" i="10" s="1"/>
  <c r="F14" i="13"/>
  <c r="F26" i="13" s="1"/>
  <c r="F91" i="13" s="1"/>
  <c r="F14" i="11"/>
  <c r="F22" i="11" s="1"/>
  <c r="F86" i="11" s="1"/>
  <c r="C9" i="10"/>
  <c r="C14" i="10" s="1"/>
  <c r="C14" i="13"/>
  <c r="C26" i="13" s="1"/>
  <c r="C91" i="13" s="1"/>
  <c r="C14" i="11"/>
  <c r="C22" i="11" s="1"/>
  <c r="C86" i="11" s="1"/>
  <c r="F38" i="13"/>
  <c r="P75" i="13" s="1"/>
  <c r="F34" i="11"/>
  <c r="P70" i="11" s="1"/>
  <c r="D9" i="10"/>
  <c r="D14" i="10" s="1"/>
  <c r="D14" i="13"/>
  <c r="D26" i="13" s="1"/>
  <c r="D91" i="13" s="1"/>
  <c r="D14" i="11"/>
  <c r="D22" i="11" s="1"/>
  <c r="D86" i="11" s="1"/>
  <c r="C11" i="10"/>
  <c r="C16" i="13"/>
  <c r="C28" i="13" s="1"/>
  <c r="C93" i="13" s="1"/>
  <c r="C16" i="11"/>
  <c r="C24" i="11" s="1"/>
  <c r="C88" i="11" s="1"/>
  <c r="G9" i="10"/>
  <c r="G14" i="10" s="1"/>
  <c r="G14" i="13"/>
  <c r="G26" i="13" s="1"/>
  <c r="G91" i="13" s="1"/>
  <c r="G14" i="11"/>
  <c r="G22" i="11" s="1"/>
  <c r="G86" i="11" s="1"/>
  <c r="G118" i="3"/>
  <c r="G119" i="3"/>
  <c r="H119" i="3"/>
  <c r="D118" i="3"/>
  <c r="C118" i="3"/>
  <c r="F118" i="3"/>
  <c r="E118" i="3"/>
  <c r="M88" i="11" l="1"/>
  <c r="M93" i="13"/>
  <c r="N86" i="11"/>
  <c r="N91" i="11" s="1"/>
  <c r="D91" i="11"/>
  <c r="H16" i="13"/>
  <c r="H28" i="13" s="1"/>
  <c r="H93" i="13" s="1"/>
  <c r="H16" i="11"/>
  <c r="H24" i="11" s="1"/>
  <c r="H88" i="11" s="1"/>
  <c r="Q93" i="13"/>
  <c r="O91" i="13"/>
  <c r="O96" i="13" s="1"/>
  <c r="E96" i="13"/>
  <c r="O93" i="13"/>
  <c r="N88" i="11"/>
  <c r="Q88" i="11"/>
  <c r="G34" i="13"/>
  <c r="G30" i="11"/>
  <c r="H11" i="10"/>
  <c r="E34" i="13"/>
  <c r="E30" i="11"/>
  <c r="P86" i="11"/>
  <c r="P91" i="11" s="1"/>
  <c r="F91" i="11"/>
  <c r="R66" i="11"/>
  <c r="H39" i="11"/>
  <c r="R86" i="11"/>
  <c r="R91" i="11" s="1"/>
  <c r="H91" i="11"/>
  <c r="P88" i="11"/>
  <c r="H35" i="13"/>
  <c r="R72" i="13" s="1"/>
  <c r="H31" i="11"/>
  <c r="R67" i="11" s="1"/>
  <c r="P93" i="13"/>
  <c r="G35" i="13"/>
  <c r="Q72" i="13" s="1"/>
  <c r="G31" i="11"/>
  <c r="Q67" i="11" s="1"/>
  <c r="N93" i="13"/>
  <c r="D96" i="13"/>
  <c r="N91" i="13"/>
  <c r="N96" i="13" s="1"/>
  <c r="G96" i="13"/>
  <c r="Q91" i="13"/>
  <c r="Q96" i="13" s="1"/>
  <c r="F96" i="13"/>
  <c r="P91" i="13"/>
  <c r="P96" i="13" s="1"/>
  <c r="R71" i="13"/>
  <c r="R91" i="13"/>
  <c r="R96" i="13" s="1"/>
  <c r="H96" i="13"/>
  <c r="D34" i="13"/>
  <c r="D30" i="11"/>
  <c r="O88" i="11"/>
  <c r="M86" i="11"/>
  <c r="M91" i="11" s="1"/>
  <c r="C91" i="11"/>
  <c r="C96" i="13"/>
  <c r="M91" i="13"/>
  <c r="M96" i="13" s="1"/>
  <c r="G91" i="11"/>
  <c r="Q86" i="11"/>
  <c r="Q91" i="11" s="1"/>
  <c r="F34" i="13"/>
  <c r="F30" i="11"/>
  <c r="C34" i="13"/>
  <c r="C30" i="11"/>
  <c r="O86" i="11"/>
  <c r="O91" i="11" s="1"/>
  <c r="E91" i="11"/>
  <c r="G123" i="3"/>
  <c r="H123" i="3"/>
  <c r="D119" i="3"/>
  <c r="F119" i="3"/>
  <c r="C119" i="3"/>
  <c r="E119" i="3"/>
  <c r="E35" i="13" l="1"/>
  <c r="O72" i="13" s="1"/>
  <c r="E31" i="11"/>
  <c r="O67" i="11" s="1"/>
  <c r="H44" i="13"/>
  <c r="R81" i="13" s="1"/>
  <c r="O66" i="11"/>
  <c r="O75" i="11" s="1"/>
  <c r="E39" i="11"/>
  <c r="R93" i="13"/>
  <c r="C35" i="13"/>
  <c r="M72" i="13" s="1"/>
  <c r="C31" i="11"/>
  <c r="M67" i="11" s="1"/>
  <c r="M71" i="13"/>
  <c r="C44" i="13"/>
  <c r="M81" i="13" s="1"/>
  <c r="O71" i="13"/>
  <c r="E44" i="13"/>
  <c r="O81" i="13" s="1"/>
  <c r="R88" i="11"/>
  <c r="H93" i="11"/>
  <c r="F35" i="13"/>
  <c r="P72" i="13" s="1"/>
  <c r="F31" i="11"/>
  <c r="P67" i="11" s="1"/>
  <c r="D35" i="13"/>
  <c r="N72" i="13" s="1"/>
  <c r="D31" i="11"/>
  <c r="N67" i="11" s="1"/>
  <c r="Q66" i="11"/>
  <c r="Q75" i="11" s="1"/>
  <c r="G39" i="11"/>
  <c r="N66" i="11"/>
  <c r="Q71" i="13"/>
  <c r="G44" i="13"/>
  <c r="Q81" i="13" s="1"/>
  <c r="G10" i="10"/>
  <c r="G15" i="10" s="1"/>
  <c r="G15" i="13"/>
  <c r="G27" i="13" s="1"/>
  <c r="G92" i="13" s="1"/>
  <c r="G15" i="11"/>
  <c r="G23" i="11" s="1"/>
  <c r="G87" i="11" s="1"/>
  <c r="N71" i="13"/>
  <c r="R75" i="11"/>
  <c r="M66" i="11"/>
  <c r="M75" i="11" s="1"/>
  <c r="C39" i="11"/>
  <c r="P66" i="11"/>
  <c r="P71" i="13"/>
  <c r="H10" i="10"/>
  <c r="H15" i="10" s="1"/>
  <c r="H15" i="13"/>
  <c r="H27" i="13" s="1"/>
  <c r="H92" i="13" s="1"/>
  <c r="H15" i="11"/>
  <c r="H23" i="11" s="1"/>
  <c r="H87" i="11" s="1"/>
  <c r="C123" i="3"/>
  <c r="F123" i="3"/>
  <c r="D123" i="3"/>
  <c r="E123" i="3"/>
  <c r="H16" i="10" l="1"/>
  <c r="F44" i="13"/>
  <c r="P81" i="13" s="1"/>
  <c r="E10" i="10"/>
  <c r="E15" i="13"/>
  <c r="E27" i="13" s="1"/>
  <c r="E92" i="13" s="1"/>
  <c r="E15" i="11"/>
  <c r="E23" i="11" s="1"/>
  <c r="E87" i="11" s="1"/>
  <c r="D39" i="11"/>
  <c r="N75" i="11"/>
  <c r="F10" i="10"/>
  <c r="F15" i="10" s="1"/>
  <c r="F15" i="13"/>
  <c r="F27" i="13" s="1"/>
  <c r="F92" i="13" s="1"/>
  <c r="F15" i="11"/>
  <c r="F23" i="11" s="1"/>
  <c r="F87" i="11" s="1"/>
  <c r="F39" i="11"/>
  <c r="R93" i="11"/>
  <c r="D10" i="10"/>
  <c r="D16" i="10" s="1"/>
  <c r="D15" i="13"/>
  <c r="D27" i="13" s="1"/>
  <c r="D92" i="13" s="1"/>
  <c r="D15" i="11"/>
  <c r="D23" i="11" s="1"/>
  <c r="D87" i="11" s="1"/>
  <c r="D44" i="13"/>
  <c r="N81" i="13" s="1"/>
  <c r="R87" i="11"/>
  <c r="R92" i="11" s="1"/>
  <c r="H92" i="11"/>
  <c r="P75" i="11"/>
  <c r="Q87" i="11"/>
  <c r="G92" i="11"/>
  <c r="G93" i="11"/>
  <c r="G94" i="11" s="1"/>
  <c r="H94" i="11"/>
  <c r="C10" i="10"/>
  <c r="C15" i="10" s="1"/>
  <c r="C15" i="13"/>
  <c r="C27" i="13" s="1"/>
  <c r="C92" i="13" s="1"/>
  <c r="C15" i="11"/>
  <c r="C23" i="11" s="1"/>
  <c r="C87" i="11" s="1"/>
  <c r="G16" i="10"/>
  <c r="G17" i="10" s="1"/>
  <c r="R92" i="13"/>
  <c r="H97" i="13"/>
  <c r="Q92" i="13"/>
  <c r="G97" i="13"/>
  <c r="G98" i="13"/>
  <c r="H98" i="13"/>
  <c r="C16" i="10"/>
  <c r="C17" i="10" s="1"/>
  <c r="E15" i="10"/>
  <c r="E16" i="10"/>
  <c r="H17" i="10"/>
  <c r="D15" i="10"/>
  <c r="G99" i="13" l="1"/>
  <c r="H99" i="13"/>
  <c r="N87" i="11"/>
  <c r="D92" i="11"/>
  <c r="D93" i="11"/>
  <c r="Q97" i="13"/>
  <c r="Q98" i="13"/>
  <c r="O87" i="11"/>
  <c r="E92" i="11"/>
  <c r="E93" i="11"/>
  <c r="F16" i="10"/>
  <c r="F17" i="10" s="1"/>
  <c r="M87" i="11"/>
  <c r="C92" i="11"/>
  <c r="C93" i="11"/>
  <c r="N92" i="13"/>
  <c r="D97" i="13"/>
  <c r="D98" i="13"/>
  <c r="R98" i="13"/>
  <c r="R97" i="13"/>
  <c r="Q92" i="11"/>
  <c r="Q93" i="11"/>
  <c r="Q94" i="11" s="1"/>
  <c r="M92" i="13"/>
  <c r="C97" i="13"/>
  <c r="C98" i="13"/>
  <c r="R94" i="11"/>
  <c r="P87" i="11"/>
  <c r="F92" i="11"/>
  <c r="F93" i="11"/>
  <c r="E97" i="13"/>
  <c r="O92" i="13"/>
  <c r="E98" i="13"/>
  <c r="P92" i="13"/>
  <c r="F97" i="13"/>
  <c r="F98" i="13"/>
  <c r="E17" i="10"/>
  <c r="D17" i="10"/>
  <c r="F99" i="13" l="1"/>
  <c r="N97" i="13"/>
  <c r="N98" i="13"/>
  <c r="O92" i="11"/>
  <c r="O93" i="11"/>
  <c r="O97" i="13"/>
  <c r="O98" i="13"/>
  <c r="E99" i="13"/>
  <c r="C94" i="11"/>
  <c r="E94" i="11"/>
  <c r="C99" i="13"/>
  <c r="Q99" i="13"/>
  <c r="M92" i="11"/>
  <c r="M93" i="11"/>
  <c r="D94" i="11"/>
  <c r="P93" i="11"/>
  <c r="P92" i="11"/>
  <c r="P97" i="13"/>
  <c r="P98" i="13"/>
  <c r="D99" i="13"/>
  <c r="M97" i="13"/>
  <c r="M98" i="13"/>
  <c r="F94" i="11"/>
  <c r="R99" i="13"/>
  <c r="N92" i="11"/>
  <c r="N93" i="11"/>
  <c r="M99" i="13" l="1"/>
  <c r="O99" i="13"/>
  <c r="O94" i="11"/>
  <c r="P99" i="13"/>
  <c r="N99" i="13"/>
  <c r="M94" i="11"/>
  <c r="N94" i="11"/>
  <c r="P94" i="11"/>
</calcChain>
</file>

<file path=xl/sharedStrings.xml><?xml version="1.0" encoding="utf-8"?>
<sst xmlns="http://schemas.openxmlformats.org/spreadsheetml/2006/main" count="1351" uniqueCount="681">
  <si>
    <t>Lähtöarvot</t>
  </si>
  <si>
    <t>Älä muuta näitä, ellei ole hyvää syytä (parempaa tai uudempaa lähdettä)</t>
  </si>
  <si>
    <t>Lähde:</t>
  </si>
  <si>
    <t>Tie- ja  rautatieliikenteen hankearvioinnin yksikköarvojen määrittäminen vuodelle 2013, Liikennevirasto 2015</t>
  </si>
  <si>
    <t>Tie- ja rautatieliikenteen hankearvioinnin yksikköarvot 2013, Liikenneviraston ohjeita 1/2015</t>
  </si>
  <si>
    <t>http://www2.liikennevirasto.fi/julkaisut/pdf8/lr_2015_tie_rautatieliikenteen_web.pdf</t>
  </si>
  <si>
    <t>http://www2.liikennevirasto.fi/julkaisut/pdf8/lo_2015-01_tie_rautatieliikenteen_web.pdf</t>
  </si>
  <si>
    <t>Vuoden 2013 hintatasossa (verollisin hinnoin)</t>
  </si>
  <si>
    <t>Seuraavia vaikutuksia ei ole arvioitu rahallisesti</t>
  </si>
  <si>
    <t>Ajoneuvokustannukset</t>
  </si>
  <si>
    <t>Tarkoittaa ajoneuvojen käyttökustannuksia (ajosuoritteen mukaan määräytyvät polttoainekustannukset sekä huolto-, rengas- ja korjauskustannukset)</t>
  </si>
  <si>
    <t>(ks. Tieliikenteen yksikköarvot)</t>
  </si>
  <si>
    <t>Jos nämä arvioidaan, pitää arvioida</t>
  </si>
  <si>
    <t>- Kutsuplussan kasvavat ajoneuvokustannukset</t>
  </si>
  <si>
    <t>- Henkilöautojen vähenevät ajoneuvokustannukset</t>
  </si>
  <si>
    <t>- Taksin vähenevät ajoneuvokustannukset?</t>
  </si>
  <si>
    <t>- Pitkällä aikavälillä joukkoliikenteen vähenevät ajoneuvokustannukset?</t>
  </si>
  <si>
    <t>Matka-aikasäästöt</t>
  </si>
  <si>
    <t xml:space="preserve">"Matka-aikasäästön arvo perustuu tavallisesti siihen, että matkaan kuluvalle ajalle on aina olemassa vaihtoehtoinen käyttötarkoitus työskentelynä tai vapaa-ajan toimintona. Hankkeet, jotka lyhentävät matka-aikaa, sallivat vaihtoehtoisen hyödyn toteutumisen." </t>
  </si>
  <si>
    <t>Tässä ei ole arvioitu matka-ajan muutoksia sinänsä, seuraavista syistä:</t>
  </si>
  <si>
    <t>- Polkupyörästä Kutsuplussaan siirtyvillä matkoilla matka-aika voi pidentyä tai lyhentyä sijainnista ja matkan pituudesta riippuen. Matkustaja kokee saavansa Kutsuplussasta enemmän hyötyä kuin polkupyörästä (esim. huonon sään tai tavaroiden kuljetuksen takia).</t>
  </si>
  <si>
    <t>- Henkilöautosta ja taksista Kutsuplussaan siirtyvillä matkoilla matka-aika todennäköisesti pitenee.</t>
  </si>
  <si>
    <t xml:space="preserve">-&gt; Koska matka-ajat osin lyhenevät ja osin pitenevät, hyödyt ja haitat osin kumoavat toisensa. </t>
  </si>
  <si>
    <t>Palvelutason paraneminen</t>
  </si>
  <si>
    <t>- vuoroväli pienenee</t>
  </si>
  <si>
    <t>Tavallisessa joukkoliikenteessä palvelutason paranemista aiheutuu mm. seuraavilla tavoilla</t>
  </si>
  <si>
    <t>- vaihtojen määrä vähenee</t>
  </si>
  <si>
    <t>- Joukkoliikenteestä Kutsuplussaan siirtyvillä matkoilla matka-aika todennäköisesti lyhenee. Matka-aika voi tosin myös pidentyä, jos korvataan bussi+juna/metro Kutsuplussalla vaihdon poistamiseksi.</t>
  </si>
  <si>
    <t>- Matka-aikasäästöjen arvioimiseksi olisi hyvä olla tiedossa reitit, joilla Kutsuplus korvaa joukkoliikennettä ja henkilöautoilua. Näitä ei ole tiedossa, ja niitä on hankala mallintaa.</t>
  </si>
  <si>
    <t>Kutsuplus parantaa palvelutasoa siten, että</t>
  </si>
  <si>
    <t>- vaihtojen määrä ja samalla vaihtoihin liittyvät odotusajat pienenevät</t>
  </si>
  <si>
    <t>- luotettavuus (aikataulussa pysyminen) paranee</t>
  </si>
  <si>
    <t>- matka-aika lyhenee</t>
  </si>
  <si>
    <t>- odotusajat pienenevät (etenkin kun alue laajenee parhaan joukkoliikenteen alueelta ulommas), vaikkakaan eivät täysin poistu</t>
  </si>
  <si>
    <t>Matka-aikasäästön arvo</t>
  </si>
  <si>
    <t>Taulukko 5: Kevyen ajoneuvon matka-aikasäästön arvo 2013.</t>
  </si>
  <si>
    <t>Henkilö-</t>
  </si>
  <si>
    <t xml:space="preserve">auto </t>
  </si>
  <si>
    <t xml:space="preserve">Työajan matka (6,8 %) </t>
  </si>
  <si>
    <t xml:space="preserve">Työssäkäyntimatka (20,6 %)* </t>
  </si>
  <si>
    <t>Asiointi- ja vapaa-ajan matkat (72,6 %)</t>
  </si>
  <si>
    <t xml:space="preserve">Keskimäärin </t>
  </si>
  <si>
    <t>Paketti-</t>
  </si>
  <si>
    <t xml:space="preserve">Työajan matka (35,0 %) </t>
  </si>
  <si>
    <t xml:space="preserve">Työssäkäyntimatka (30,0 %)* </t>
  </si>
  <si>
    <t>Asiointi- ja vapaa-ajan matkat (35,0 %)</t>
  </si>
  <si>
    <t xml:space="preserve">Kevyt </t>
  </si>
  <si>
    <t>ajo-</t>
  </si>
  <si>
    <t xml:space="preserve">neuvo** </t>
  </si>
  <si>
    <t xml:space="preserve">Työajan matka (9,5 %) </t>
  </si>
  <si>
    <t xml:space="preserve">Työssäkäyntimatka (21,0 %)* </t>
  </si>
  <si>
    <t>Asiointi- ja vapaa-ajan matkat (69,5 %)</t>
  </si>
  <si>
    <t>*Sisältää  myös  koulu-  ja  opiskelumatkat.  **Henkilöautojen  suoriteosuus  92  %  ja  pakettiautojen  suorite-</t>
  </si>
  <si>
    <t xml:space="preserve">osuus 8 %. </t>
  </si>
  <si>
    <t>Ajoneuvo</t>
  </si>
  <si>
    <t>Matkan tarkoitus</t>
  </si>
  <si>
    <t>Kuormitus</t>
  </si>
  <si>
    <t>hlö/auto</t>
  </si>
  <si>
    <t xml:space="preserve">Euroa / </t>
  </si>
  <si>
    <t>tunti / hlö</t>
  </si>
  <si>
    <t>tunti / auto</t>
  </si>
  <si>
    <t>Tie- ja rautatieliikenteen hankearvioinnin yksikköarvot</t>
  </si>
  <si>
    <t>Tie- ja rautatieliikenteen hankearvioinnin yksikköarvot 2013</t>
  </si>
  <si>
    <t>Onnettomuuskustannukset</t>
  </si>
  <si>
    <t>Luku 2.3</t>
  </si>
  <si>
    <t>Luku 2.2</t>
  </si>
  <si>
    <t xml:space="preserve">Taulukko 8: Henkilövahinkojen ja eri onnettomuustyyppien yksikköarvot 2013. </t>
  </si>
  <si>
    <t xml:space="preserve">Vaikea tilapäinen vamma </t>
  </si>
  <si>
    <t xml:space="preserve">Lievä tilapäinen vamma </t>
  </si>
  <si>
    <t>Tilapäinen vamma keskimäärin</t>
  </si>
  <si>
    <t xml:space="preserve">Euroa </t>
  </si>
  <si>
    <t>Henkilövahinkojen yksikköarvot</t>
  </si>
  <si>
    <t>Kuolema</t>
  </si>
  <si>
    <t>Pysyvä vamma</t>
  </si>
  <si>
    <t>Keskimääräinen (ei kuolemaan johtanut) vamma</t>
  </si>
  <si>
    <t>Onnettomuustyyppikohtaiset yksikköarvot</t>
  </si>
  <si>
    <t>Kuolemaan johtanut onnettomuus</t>
  </si>
  <si>
    <t>Vammautumiseen johtanut onnettomuus</t>
  </si>
  <si>
    <t xml:space="preserve">Henkilövahinko-onnettomuus keskimäärin </t>
  </si>
  <si>
    <t>Omaisuusvahinko-onnettomuus, vähäisempi ajoneuvovaurio</t>
  </si>
  <si>
    <t>Tieliikenneonnettomuus keskimäärin</t>
  </si>
  <si>
    <t>Ympäristökustannukset</t>
  </si>
  <si>
    <t>Luku 2.4</t>
  </si>
  <si>
    <t>Pakokaasupäästöt</t>
  </si>
  <si>
    <t xml:space="preserve">Taulukko 9.   Tieliikenteen päästökustannukset 2013. </t>
  </si>
  <si>
    <t>Henkilöautoliikenteen vähentyessä melutaso todennäköisesti hieman pienenee.</t>
  </si>
  <si>
    <t>Melutaso voi kuitenkin vastaavasti pienentyä myös ajoneuvokannan muuttuessa, esim. sähköautojen määrä kasvaessa.</t>
  </si>
  <si>
    <t>Liikennemelu</t>
  </si>
  <si>
    <t>Luku 2.4.1</t>
  </si>
  <si>
    <t>Yhdiste, euroa/tonni</t>
  </si>
  <si>
    <t>Taajama</t>
  </si>
  <si>
    <t>Haja-asutusalue</t>
  </si>
  <si>
    <t>Keskimäärin</t>
  </si>
  <si>
    <t>Hiukkaset (primäärihiukkaset)</t>
  </si>
  <si>
    <t>Hiilivedyt (HC)</t>
  </si>
  <si>
    <r>
      <t>Hiilidioksidi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</si>
  <si>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Typen oksidit (NO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)</t>
    </r>
  </si>
  <si>
    <t>Melutason muutoksia varten pitäisi pystyä arvioimaan miten paljon melutaso muuttuu kuinkakin monelle ihmisille. Tätä varten pitäisi arvioida, millä reiteillä Kutsuplus liikennöi, ja tätä tietoa ei ole käytettävissä.</t>
  </si>
  <si>
    <t>Päällysteiden kulumisen kustannukset</t>
  </si>
  <si>
    <t>Luku 2.5</t>
  </si>
  <si>
    <t xml:space="preserve">Taulukko 11.   Päällysteiden kulkumisen rajakustannus 2013. </t>
  </si>
  <si>
    <t>Kaikki ajoneuvot keskimäärin</t>
  </si>
  <si>
    <t xml:space="preserve">Snt/ajoneuvo-kilometri </t>
  </si>
  <si>
    <t>Euroa / ajoneuvo-kilometri</t>
  </si>
  <si>
    <t>Jos oletetaan, että talvella nastarenkaita käyttävät henkilöautot korvautuvat ei-nastarenkaita käyttävillä</t>
  </si>
  <si>
    <t>Kutsuplus-autoille, säästö on tätä suurempi.</t>
  </si>
  <si>
    <t>Toisaalta suurin osa kulumisesta aiheutuu raskaista ajoneuvoista, ja nastarenkaiden haittoja pienentää</t>
  </si>
  <si>
    <t>myös kitkarenkaiden yleistyminen. Myös nastarengasrajoituksia voi tulevaisuudessa olla pk-seudulla.</t>
  </si>
  <si>
    <t>Muita lähtöarvoja</t>
  </si>
  <si>
    <t>Pysäköintipaikan hinta (rakennuskustannus)</t>
  </si>
  <si>
    <t>Pysäköintipaikan tilantarve</t>
  </si>
  <si>
    <t>Kadunvarsipaikka</t>
  </si>
  <si>
    <t>Laitospysäköinti</t>
  </si>
  <si>
    <t>s. 23</t>
  </si>
  <si>
    <t>Maantasopysäköinti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</si>
  <si>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 autopaikka</t>
    </r>
  </si>
  <si>
    <t>Euroa / autopaikka</t>
  </si>
  <si>
    <t>Pysäköintikansi</t>
  </si>
  <si>
    <t>alaraja</t>
  </si>
  <si>
    <t>yläraja</t>
  </si>
  <si>
    <t>Pysäköintitalo</t>
  </si>
  <si>
    <t>Autopaikkojen toteuttamiskustannukset ja niiden kohdistaminen nykyistä suuremmassa määrin autopaikkojen käyttäjille - Autopaikkatyöryhmän loppuraportti 31.1.2009</t>
  </si>
  <si>
    <t>Pysäköinti kellarissa</t>
  </si>
  <si>
    <t>Pysäköinti kallioluolassa</t>
  </si>
  <si>
    <t>Kutsuplus-ajoneuvojen määrä</t>
  </si>
  <si>
    <t>Kutsuplus-parametrit</t>
  </si>
  <si>
    <t>Matkojen siirtyminen</t>
  </si>
  <si>
    <t>Henkilöautosta (kuljettaja)</t>
  </si>
  <si>
    <t>Henkilöautosta (matkustaja)</t>
  </si>
  <si>
    <t>Joukkoliikenteestä</t>
  </si>
  <si>
    <t>Kävelystä ja pyöräilystä</t>
  </si>
  <si>
    <t>Suhdeluku, joka kuvaa matkojen yhdistelyastetta: kuinka monta km Kutsuplus ajaa yhtä matkustajan kulkemaa km kohti</t>
  </si>
  <si>
    <t>Kutsuplus-matkamäärä / vuosi</t>
  </si>
  <si>
    <t>Kutsuplus-ajoneuvojen kilometrit / vuosi</t>
  </si>
  <si>
    <t>Keskimäärin, huomioiden ainakin yötunnit, viikonloppuja ei välttämättä tarvitse huomioida. Voi laskea keskimääräisen arvon myös sen perusteella, jos kaikki ajoneuvot eivät ole koko ajan liikenteessä, mikä alentaa lukua.</t>
  </si>
  <si>
    <t>Kutsuplus-matkamäärä / vrk (keskimäärin)</t>
  </si>
  <si>
    <t>Tarkistus</t>
  </si>
  <si>
    <t>Kutsuplus-ajoneuvojen kilometrit / vrk (keskimäärin)</t>
  </si>
  <si>
    <t>Kutsuplus-matkustajakilometrit / vuosi</t>
  </si>
  <si>
    <t>Kutsuplus-matkamäärä / kk (keskimäärin)</t>
  </si>
  <si>
    <t>30 milj. km / VRK koko HELMET-alue (nyky 2012)</t>
  </si>
  <si>
    <t>PK-seutu 3 milj. matkaa / vrk, kehyskunnat 1 milj. / vrk</t>
  </si>
  <si>
    <t>Muutettavat parametrit ovat vihreällä pohjalla</t>
  </si>
  <si>
    <t>Taksista</t>
  </si>
  <si>
    <t>Taksien ajoneuvo-km. / matkustaja-km.</t>
  </si>
  <si>
    <t>Kutsuplus-matkan keskipituus, km</t>
  </si>
  <si>
    <t>Kutsuplus nousut / ajoneuvotunti</t>
  </si>
  <si>
    <t>Kutsuplus ajoneuvo-km / matkustaja-km</t>
  </si>
  <si>
    <t>Kutsuplus liikennöintitunteja / vrk (keskimäärin)</t>
  </si>
  <si>
    <t>Kutsuplus-ajoneuvotunteja / vuosi</t>
  </si>
  <si>
    <t>Onnettomuusasteet</t>
  </si>
  <si>
    <t>moottoriväylä</t>
  </si>
  <si>
    <t>pääkatu</t>
  </si>
  <si>
    <t>alueellinen kokoojakatu</t>
  </si>
  <si>
    <t>paikallinen kokoojakatu</t>
  </si>
  <si>
    <t>tonttikatu</t>
  </si>
  <si>
    <t>Dynaamisten vaikutusten vuoksi ha-kilometrit kuitenkin lisääntyvät x % vähentyneistä</t>
  </si>
  <si>
    <t>Kutsuplus + henkilöauto + taksi</t>
  </si>
  <si>
    <t>Kutsuplus-ajoneuvojen nopeus keskimäärin, km / h</t>
  </si>
  <si>
    <t xml:space="preserve">Henkilöauton ja taksin kilometrit / vuosi </t>
  </si>
  <si>
    <t>HENKILÖAUTO</t>
  </si>
  <si>
    <t>Päästökertoimet [g/km]</t>
  </si>
  <si>
    <t>http://lipasto.vtt.fi/yksikkopaastot/henkiloliikenne/tieliikenne/henkiloautot/hakeskim.htm</t>
  </si>
  <si>
    <t>Henkilöautot keskimäärin (maantie + katu) (vuonna 2011)</t>
  </si>
  <si>
    <t>PM (hiukkaset)</t>
  </si>
  <si>
    <t>HC</t>
  </si>
  <si>
    <t>VTT Lipasto</t>
  </si>
  <si>
    <t>Kerroin kuvaa taksien suhdetta ajoneuvo-km / matkustaja-km</t>
  </si>
  <si>
    <t>Päästökustannus € / km</t>
  </si>
  <si>
    <t>Yhteensä</t>
  </si>
  <si>
    <t>Ympäristökustannukset yhteensä, € / vuosi</t>
  </si>
  <si>
    <t>Kutsuplus-ajoneuvojen ympäristökustannukset € / vuosi</t>
  </si>
  <si>
    <t>Henkilöauton ja taksin ympäristökustannukset € / vuosi</t>
  </si>
  <si>
    <t>Positiivinen arvo tarkoittaa kasvavia kustannuksia, ts. haittaa</t>
  </si>
  <si>
    <t>Negatiivinen arvo tarkoittaa väheneviä kustannuksia, ts. hyötyjä</t>
  </si>
  <si>
    <t>Päällysteiden kulumisen kustannukset € / vuosi</t>
  </si>
  <si>
    <t>Kokonaiskilometrimäärän muutos / vuosi</t>
  </si>
  <si>
    <t>Henkilöautojen kilometrien vähenemä km / vuosi</t>
  </si>
  <si>
    <t>Taksien kilometrien vähenemä km / vuosi</t>
  </si>
  <si>
    <t>Pysäköintipaikkojen rakentamiskustannukset</t>
  </si>
  <si>
    <t>Onnettomuuskustannukset, milj. € / vuosi</t>
  </si>
  <si>
    <t>Ympäristökustannukset, milj. € / vuosi</t>
  </si>
  <si>
    <t>Päällysteiden kulumisen kustannukset, milj. € / vuosi</t>
  </si>
  <si>
    <t>..Espoo</t>
  </si>
  <si>
    <t>..Helsinki</t>
  </si>
  <si>
    <t>..Kauniainen</t>
  </si>
  <si>
    <t>..Kerava</t>
  </si>
  <si>
    <t>..Kirkkonummi</t>
  </si>
  <si>
    <t>..Vantaa</t>
  </si>
  <si>
    <t>Liikennekäytössä olevat henkilöautot (maaliskuu 2015) / Trafi</t>
  </si>
  <si>
    <t>http://www.trafi.fi/tietopalvelut/tilastot/tietokannat</t>
  </si>
  <si>
    <t>Käytetään nyt keskimäärin</t>
  </si>
  <si>
    <t>Säästöä pysäköintipaikkojen rakentamisessa, € / vuosi</t>
  </si>
  <si>
    <t>Autoja / 1000 asukasta</t>
  </si>
  <si>
    <t>PK-seudulla väestöä n. 1,1 miljoonaa henkeä (vuonna 2015)</t>
  </si>
  <si>
    <t>PK-seudulla henkilöautoja n. 420 000 kpl (vuonna 2015)</t>
  </si>
  <si>
    <t>Henkilöautosta (kuljettaja) siirtyviä matkoja</t>
  </si>
  <si>
    <t>Joukkoliikenteestä siirtyviä matkoja</t>
  </si>
  <si>
    <t>Oletuksia vaikutusten taustalla:</t>
  </si>
  <si>
    <t>Taksista siirtyviä matkoja</t>
  </si>
  <si>
    <t>Tehottoman ajankäytön väheneminen</t>
  </si>
  <si>
    <t>Vapaa-ajanmatkojen osuus Kutsuplus-matkoista</t>
  </si>
  <si>
    <t>Kuinka monta % työmatkoista voidaan käyttää hyödyksi</t>
  </si>
  <si>
    <t>Osuus, joka matkoista keskimäärin voidaan hyödyntää</t>
  </si>
  <si>
    <t>Kuinka monta % vapaa-ajanmatkoista voidaan käyttää hyödyksi</t>
  </si>
  <si>
    <t>Matkan kesto keskimäärin, h</t>
  </si>
  <si>
    <t>Hyödyllisistä tunneista koituva säästö, € / vuosi</t>
  </si>
  <si>
    <t>Hyödyllisiä työajan tunteja / vuosi</t>
  </si>
  <si>
    <t>Hyödyllisiä vapaa-ajan tunteja / vuosi</t>
  </si>
  <si>
    <t>Työajan- tai työssäkäyntimatka keskimäärin</t>
  </si>
  <si>
    <t>Tehottoman ajankäytön väheneminen, milj. € / vuosi</t>
  </si>
  <si>
    <t>Kutsuplus-autot</t>
  </si>
  <si>
    <t>Henkilöautot keskimäärin</t>
  </si>
  <si>
    <t>Nämä ovat siis lähinnä worst case scenario -lukuja.</t>
  </si>
  <si>
    <t>Kuitenkin esim. bensa- ja dieselautojen osuuden muutokset muuttavat eri päästöjen suhteita.</t>
  </si>
  <si>
    <t>Lisäksi vaihtoehtoisten energiamuotojen yleistyminen (sähkö, kaasu) voi hyvinkin pienentää päästöjä.</t>
  </si>
  <si>
    <t>Nykyiset 15 Kutsuplus-autoa ovat Euro 5 -normin mukaisia.</t>
  </si>
  <si>
    <t>(Lain mukaan vuosimallin 2014/2015 autojen on täytettävä Euro 6 -normi.)</t>
  </si>
  <si>
    <t>on käytetty Euro 6 -Kutsuplus-autojen päästöjä.</t>
  </si>
  <si>
    <t>Kutsuplus (Euro 6)</t>
  </si>
  <si>
    <t>Tulevat Kutsuplus-auto ovat Euro 6 -normin mukaisia, joten laskelmissa</t>
  </si>
  <si>
    <r>
      <t>NO</t>
    </r>
    <r>
      <rPr>
        <vertAlign val="subscript"/>
        <sz val="11"/>
        <color theme="1"/>
        <rFont val="Calibri"/>
        <family val="2"/>
        <scheme val="minor"/>
      </rPr>
      <t>x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</si>
  <si>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</si>
  <si>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t>Todellisuudessa henkilöautojen päästöt ovat tulevaisuudessa hieman pienemmät autokannan uusiutuessa.</t>
  </si>
  <si>
    <t>Euro 5:</t>
  </si>
  <si>
    <t>PM</t>
  </si>
  <si>
    <t>(ei käytetty laskelmissa)</t>
  </si>
  <si>
    <t>Petrin arvio Euro 5 -Kutsuplusautojen luvuista (autoa ei testattu VTT:llä):</t>
  </si>
  <si>
    <t>Päästökertoimet</t>
  </si>
  <si>
    <t>HSL, Petri Saari, sähköpostit 7.-8.5.2015</t>
  </si>
  <si>
    <t>Montako autoa / 1000 asukasta jätetään hankkimatta</t>
  </si>
  <si>
    <t>Autoja jää hankkimatta, kpl</t>
  </si>
  <si>
    <t>Lähestymistapa 2: Oletetaan, että 1 yhteiskäyttöauto voisi korvata X henkilöautoa</t>
  </si>
  <si>
    <t>Montako henkilöautoa 1 Kutsuplus-auto korvaa</t>
  </si>
  <si>
    <t>Pysäköintipaikan hinta, vuosi- tai kuukausikustannus</t>
  </si>
  <si>
    <t>euroa / kk / autopaikka</t>
  </si>
  <si>
    <t>euroa / vuosi / autopaikka</t>
  </si>
  <si>
    <t>Helsingin asukaspysäköinti (kadunvarsi, asukaspysäköintilupa)</t>
  </si>
  <si>
    <t>Sopimuspysäköinti, Europark, Helsingin keskusta</t>
  </si>
  <si>
    <t>260 - 330</t>
  </si>
  <si>
    <t>Sopimuspysäköinti, Europark, Ruoholahti</t>
  </si>
  <si>
    <t>Helsingin pysäköintipolitiikka, Helsingin kaupunkisuunnitteluviraston selvityksiä 2013:1, http://www.hel.fi/hel2/ksv/julkaisut/los_2013-1.pdf</t>
  </si>
  <si>
    <t>Oletetaan maltillinen keskihinta</t>
  </si>
  <si>
    <t>http://www.europark.fi/pysakointitalot/</t>
  </si>
  <si>
    <t xml:space="preserve">Näin saadaan arvioitua rakentamattoman pysäköintipaikan tuottama säästö / vuosi karkealla tasolla </t>
  </si>
  <si>
    <t>Tässä ei vielä ole huomioitu sitä, että pysäköintipaikoilta säästyneeseen tilaan voidaan rakentaa jotain muuta (lisää rakennuksia, puisto, …)</t>
  </si>
  <si>
    <t>Oletetaan tässä, että vuosi- tai kuukausikustannus sisältää sekä investoinnin että ylläpidon (+ voiton, jos kysymyksessä on kaupallinen toimija)</t>
  </si>
  <si>
    <t>Kustannuksia on lähestytty pysäköintipaikan vuokrahinnan kautta, jotta ne saadaan jyvitettyä vuosikustannuksiksi</t>
  </si>
  <si>
    <t>Tarkistettava, kuinka paljon joukkoliikennematkoja ylipäätään tehdään, onko tämä realistista</t>
  </si>
  <si>
    <t>Trafi</t>
  </si>
  <si>
    <t>Lähestymistapa 1: maltillinen arvio</t>
  </si>
  <si>
    <t>Siirtymät muista kulkutavoista</t>
  </si>
  <si>
    <t>Matkan kesto keskimäärin, min</t>
  </si>
  <si>
    <t>Hyödyllisiä tunteja yhteensä / vrk</t>
  </si>
  <si>
    <t>Autoja jää hankkimatta</t>
  </si>
  <si>
    <t>Kutsuplussan asiakkaiden maksamat maksut / vuosi (-20 % nyk. hinnasta))</t>
  </si>
  <si>
    <t>Lyhyen aikavälin vaikutukset - toteutuvat välittömästi kun Kutsuplus-ajoneuvojen määrää kasvatetaan</t>
  </si>
  <si>
    <r>
      <rPr>
        <b/>
        <sz val="11"/>
        <color theme="1"/>
        <rFont val="Calibri"/>
        <family val="2"/>
        <scheme val="minor"/>
      </rPr>
      <t xml:space="preserve">Epävarmat </t>
    </r>
    <r>
      <rPr>
        <sz val="11"/>
        <color theme="1"/>
        <rFont val="Calibri"/>
        <family val="2"/>
        <scheme val="minor"/>
      </rPr>
      <t>parametrit ovat tummemman vihreällä pohjalla</t>
    </r>
  </si>
  <si>
    <t>Nykyinen hinta: 3,5 eur + 0,45 eur/km</t>
  </si>
  <si>
    <t>Parametrit voidaan ja usein kannattaakin antaa kullekin automäärälle erikseen</t>
  </si>
  <si>
    <t>- aiemmin tarpeellisiksi oletettujen (tie)liikenneinvestointien siirtäminen tai niistä kokonaan luopuminen</t>
  </si>
  <si>
    <t>Kun Kutsuplus toimii hyvin, voidaan muuta liikennejärjestelmää muokata, esimerkiksi</t>
  </si>
  <si>
    <t>Reuna-alueiden joukkoliikenteen tarjonnan vähentäminen</t>
  </si>
  <si>
    <t>Nykyinen autokanta</t>
  </si>
  <si>
    <t>(Ks. Tie- ja rautatieliikenteen yksikköarvot välilehdellä "Lähtöarvot")</t>
  </si>
  <si>
    <t>- Kutsuplussan käytön yleistyminen myös vähentää ruuhkia, mikä parantaa ajoaikojen luotettavuutta</t>
  </si>
  <si>
    <t>- kun liikennettä on kohtuullisesti (eli Helsingin keskustan ulkopuolella ja ruuhka-aikojen ulkopuolella) luotettavuus paranee (Kutsuplus ei lähde pysäkiltä etuajassa)</t>
  </si>
  <si>
    <t>-&gt; Kutsuplussa tuottamia palvelutasohyötyjä on vaikea arvioida, mutta jos voitaisiin arvioida, niin voitaisiin ehkä laskea aikasäästöjä joukkoliikenteeseen verrattuna.</t>
  </si>
  <si>
    <t xml:space="preserve"> Kuitenkin palvelutasohyötyjä, jotka eivät ole suoraan muutettavissa aikasäästöiksi, on vaikea arvioida.</t>
  </si>
  <si>
    <t>Tieinvestoinnit</t>
  </si>
  <si>
    <t>HUOM! Tämä laskelma on hyvin karkea arvio ja perustuu moniin oletuksiin, jotka on parametrisoitu alle.</t>
  </si>
  <si>
    <t>Tarkistus:</t>
  </si>
  <si>
    <t>matkojen</t>
  </si>
  <si>
    <t>määrät</t>
  </si>
  <si>
    <t>http://www.hel.fi/hel2/ksv/julkaisut/los_2012-3.pdf</t>
  </si>
  <si>
    <t>Lähde onnettomuusasteille (käytetty Helsingin lukuja):</t>
  </si>
  <si>
    <t>Liikenneonnettomuudet Helsingissä vuonna 2011, s. 19</t>
  </si>
  <si>
    <t>Henkilöautomatkat, kuljettaja / vrk</t>
  </si>
  <si>
    <t>Henkilöautomatkat, matkustaja / vrk</t>
  </si>
  <si>
    <t>Taksimatkat / vrk</t>
  </si>
  <si>
    <t>Joukkoliikennematkat / vrk</t>
  </si>
  <si>
    <t>Kävely- ja pyöräilymatkat / vrk</t>
  </si>
  <si>
    <t>Kutsuplussaan vrk:n aikana siirtyvät matkat (realistisuustarkistus)</t>
  </si>
  <si>
    <t>Matkojen määrä HSL-alueella vuorokaudessa nykyisin</t>
  </si>
  <si>
    <t>henkilöautomatkaa kuljettajana</t>
  </si>
  <si>
    <t>henkilöautomatkaa matkustajana</t>
  </si>
  <si>
    <t>joukkoliikennematkaa</t>
  </si>
  <si>
    <t>kävely- ja pyöräilymatkaa</t>
  </si>
  <si>
    <t>Näitä arvioita yritettiin tarkentaa HELMET-mallilla tarkastelemalla, mutta osoittautui, ettei asiaa voi kovin yksinkertaisesti arvioida mallilla.</t>
  </si>
  <si>
    <t>Lisääntyvät henkilöautojen kilometrit / vuosi</t>
  </si>
  <si>
    <t xml:space="preserve">Lähde hankkeille ja niiden kustannusarvioille: </t>
  </si>
  <si>
    <t>Helsingin seudun liikennejäjestelmäsuunnitelma HLJ 2015</t>
  </si>
  <si>
    <t>https://www.hsl.fi/sites/default/files/uploads/2015-03-03-hlj_2015-raportti.pdf</t>
  </si>
  <si>
    <t>HSL:n julkaisuja 3/2015, 3.3.2015</t>
  </si>
  <si>
    <t>s. 70-71</t>
  </si>
  <si>
    <t xml:space="preserve">priorisointijärjestyksessä </t>
  </si>
  <si>
    <t xml:space="preserve">Kustannus </t>
  </si>
  <si>
    <t xml:space="preserve">(M€)** </t>
  </si>
  <si>
    <t xml:space="preserve">1a.  Pienet kustannustehokkaat toimet KUHA (jatkuva) </t>
  </si>
  <si>
    <t xml:space="preserve">Sopimus* </t>
  </si>
  <si>
    <t>1b.  Helsingin kantakaupungin raitioverkko (jatkuva)</t>
  </si>
  <si>
    <t xml:space="preserve">Tiivistäminen sisäänpäin </t>
  </si>
  <si>
    <t>Arvio, voisiko Kutsuplus tehdä hankkeesta tarpeettoman</t>
  </si>
  <si>
    <t>Ei</t>
  </si>
  <si>
    <t xml:space="preserve">2.  Keravantien Mt 148 parantaminen (lisäbudjetti 2014) </t>
  </si>
  <si>
    <t xml:space="preserve">Taulukko 6. Infrastruktuurin kehittämishankkeet 2016–2025. Hankkeet priorisointijärjestyksessä. </t>
  </si>
  <si>
    <t xml:space="preserve">Sujuvat kuljetukset </t>
  </si>
  <si>
    <t>Ehkä</t>
  </si>
  <si>
    <t>3. Pasilan läntinen lisäraide (budjetti 2015)</t>
  </si>
  <si>
    <t>Häiriöherkkyyden vähentäminen</t>
  </si>
  <si>
    <t xml:space="preserve">4. Pasila–Riihimäki -rataosuus, 1. vaihe (budjetti 2015) </t>
  </si>
  <si>
    <t xml:space="preserve">5. Metro Matinkylä–Kivenlahti + tie- ja katujärjestelyt </t>
  </si>
  <si>
    <t xml:space="preserve">6. Pisararata  </t>
  </si>
  <si>
    <t xml:space="preserve">7.  Klaukkalan ohikulkutie Mt 132  </t>
  </si>
  <si>
    <t xml:space="preserve">8.  Hyrylän itäinen ohikulkutie, 1. vaihe   </t>
  </si>
  <si>
    <t xml:space="preserve">9.  Helsingin ratapihan toiminnallinen parantaminen HELRA </t>
  </si>
  <si>
    <t xml:space="preserve">10.  Päätieverkon seuranta- ja ohjausjärjestelmän kehittäminen </t>
  </si>
  <si>
    <t xml:space="preserve">11.  Keskisuuret tiepaketit </t>
  </si>
  <si>
    <t xml:space="preserve">Joukkoliikenne, ruuhkautumisen hallinta, sujuvat kuljetukset  </t>
  </si>
  <si>
    <t>Osittain</t>
  </si>
  <si>
    <t xml:space="preserve">12.  Keski-Uudenmaan logistiikan yhteystarve, 1. vaihe  </t>
  </si>
  <si>
    <t>-</t>
  </si>
  <si>
    <t xml:space="preserve">13.  Espoon kaupunkirata (Leppävaara–Espoon keskus) </t>
  </si>
  <si>
    <t>Pisararadan tehokas liikennöinti</t>
  </si>
  <si>
    <t xml:space="preserve">14.  Raide-Jokeri  </t>
  </si>
  <si>
    <t xml:space="preserve">15.  Ruskeasannan asema  </t>
  </si>
  <si>
    <t xml:space="preserve">Nykyrakenteen hyödyntäminen, liityntäyhteydet </t>
  </si>
  <si>
    <t xml:space="preserve">16.  Kehä I, 2. vaihe   </t>
  </si>
  <si>
    <t xml:space="preserve">Ruuhkautumisen hallinta </t>
  </si>
  <si>
    <t>Dynaamisia vaikutuksia on vaikea arvioida. Mahdollisia skenaarioita on useita, koska lopputulos riippuu todennäköisesti mm. Kutsuplus-alueen laajuudesta ja siitä, miten kilpailukykyiseksi Kutsuplussan hinnoittelu saadaan.</t>
  </si>
  <si>
    <t>M€ yhteensä</t>
  </si>
  <si>
    <t xml:space="preserve">Mikäli jokin hanke ei etene, se ei saa olla esteenä järjestyksessä seuraavien hankkeiden toteutukselle. </t>
  </si>
  <si>
    <t>VÄLILLÄ 2016–2025 ALOITETTAVAT (375 M€/v)</t>
  </si>
  <si>
    <t xml:space="preserve">Taulukko 7. Infrastruktuurin kehittämishankkeet 2026–2040.  </t>
  </si>
  <si>
    <t>VÄLILLÄ 2026–2040 ALOITETTAVAT (275 M€/v)</t>
  </si>
  <si>
    <t xml:space="preserve">ei priorisointijärjestyksessä </t>
  </si>
  <si>
    <t xml:space="preserve">Pienet kustannustehokkaat toimet KUHA (jatkuva)  </t>
  </si>
  <si>
    <t xml:space="preserve">Helsingin kantakaupungin raitioverkko (jatkuva) </t>
  </si>
  <si>
    <t xml:space="preserve">Laajasalon raideyhteys *** </t>
  </si>
  <si>
    <t>Raidehankkeet</t>
  </si>
  <si>
    <t xml:space="preserve">Pasila–Riihimäki -rataosuus, 2. vaihe  </t>
  </si>
  <si>
    <t xml:space="preserve">Kehäradan asemat (Lapinkylä, Petas, Viinikkala) </t>
  </si>
  <si>
    <t xml:space="preserve">Tiederatikka (voi olla ensivaiheessa bussiratkaisu)  </t>
  </si>
  <si>
    <t>Koska tavoitteena on houkutella Kutsuplussan käyttäjät lähinnä henkilöautoilijoista,</t>
  </si>
  <si>
    <t>Tässä on arvioitu, mitä HLJ 2015:n mukaisia hankkeita voi olla mahdollista jättää toteuttamatta tai lykätä myöhemmäksi,</t>
  </si>
  <si>
    <t>on tässä arvioitu, että joukkoliikennehankkeita ei voida jättää toteuttamatta.</t>
  </si>
  <si>
    <t xml:space="preserve">Päinvastoin Kutsuplus voi lisätä tarvetta joukkoliikenteen runkoyhteyksille, jos Kutsuplus saadaan syöttämään </t>
  </si>
  <si>
    <t>reuna-alueilta autoilijoita joukkoliikenteeseen (tätä ei kuitenkaan ole arvioitu tarkemmin).</t>
  </si>
  <si>
    <t xml:space="preserve">Metro, Mellunmäki–Majvik </t>
  </si>
  <si>
    <t xml:space="preserve">Kerava–Nikkilä -rata  </t>
  </si>
  <si>
    <t xml:space="preserve">Lentorata (aloitetaan) </t>
  </si>
  <si>
    <t>Tiehankkeet</t>
  </si>
  <si>
    <t xml:space="preserve">Hyrylän itäinen ohikulkutie, 2. vaihe </t>
  </si>
  <si>
    <t>Ehkä?</t>
  </si>
  <si>
    <t xml:space="preserve">Keski-Uudenmaan logistiikan yhteystarve, 2. vaihe   </t>
  </si>
  <si>
    <t xml:space="preserve">Kuninkaantammen ja eteläisen Myyrmäen eritasoliittymä sekä katuyhteys Korutie–Vt3 (Pikku-kakkonen) </t>
  </si>
  <si>
    <t xml:space="preserve">Länsiväylä, Koivusaaren eritasoliittymä </t>
  </si>
  <si>
    <t xml:space="preserve">Kehä I, Itäkeskuksen eritasoliittymä </t>
  </si>
  <si>
    <t xml:space="preserve">Lahdenväylä, VT 7–Kehä III, 3. vaihe  </t>
  </si>
  <si>
    <t xml:space="preserve">Kehä III, 3. vaihe  </t>
  </si>
  <si>
    <t xml:space="preserve">Turunväylä, Kehä III–Hista </t>
  </si>
  <si>
    <t xml:space="preserve">Vt 25 parantaminen välillä Mustio–Mäntsälä (suunniteltava ja vaiheistettava) </t>
  </si>
  <si>
    <t xml:space="preserve">Vt3 Hämeenlinnanväylä, Kaivoksela–Kehä III </t>
  </si>
  <si>
    <t xml:space="preserve">Vt3 Hämeenlinnanväylä, Kehä III–Luhtaanmäki </t>
  </si>
  <si>
    <t xml:space="preserve">Tuusulanväylä, Valkoisenlähteentie–Kulomäentie, 2.vaihe </t>
  </si>
  <si>
    <t xml:space="preserve">Sörnäisten tunneli </t>
  </si>
  <si>
    <t xml:space="preserve">Östersundomin tie- ja katuyhteydet (ajoitus metron yhteydessä) </t>
  </si>
  <si>
    <t>Osin?</t>
  </si>
  <si>
    <t xml:space="preserve">Tuusulanväylän kääntäminen Veturitielle </t>
  </si>
  <si>
    <t xml:space="preserve">Itäväylä, Itäkeskus–Kehä III </t>
  </si>
  <si>
    <t xml:space="preserve">Kehä I, 3. vaihe </t>
  </si>
  <si>
    <t xml:space="preserve">Kehä III, Mankki–Muurala </t>
  </si>
  <si>
    <t xml:space="preserve">Vihdintie, Haaga–Kehä III, 2. vaihe </t>
  </si>
  <si>
    <t xml:space="preserve">Kehä I, Keilaniemen kohta </t>
  </si>
  <si>
    <t xml:space="preserve">*** Saattaa toteutua aiemmin osana Helsingin kaupungin investointiohjelmaa. </t>
  </si>
  <si>
    <t xml:space="preserve">** Hankkeiden kustannukset eivät keskenään vertailukelpoisia suunnittelun tarkkuustasosta ja ajankohdasta johtuen </t>
  </si>
  <si>
    <t xml:space="preserve">* Valtion ja Helsingin seudun kuntien välisessä sopimuksessa suurten infrahankkeiden tukemiseksi ja asumisen edistämiseksi nimetyt hankkeet. </t>
  </si>
  <si>
    <t>Tieinvestoinnit, milj. € / vuosi</t>
  </si>
  <si>
    <t xml:space="preserve">Pääperustelu </t>
  </si>
  <si>
    <t>Tieinvestoinneista potentiaalisesti saatavat säästöt ovat siksi suhteellisen pieni osuus HLJ:n kehittämishankkeiden koko summasta.</t>
  </si>
  <si>
    <t>Reuna-alueiden joukkoliikenteen säästöt, milj. € / vuosi</t>
  </si>
  <si>
    <t>Tässä riittävän laajaksi on ajateltu järjestelmä, jossa olisi yli 2000 ajoneuvoa.</t>
  </si>
  <si>
    <t>On hyvin hankala arvioida, millä ajoneuvomäärällä ruuhkautuminen todellisuudessa vähenisi niin paljon, että mitään tieinvestointeja ei tarvittaisi.</t>
  </si>
  <si>
    <t>Maksimisäästöt on ajateltu saatavan, jos Kutsuplus-ajoneuvoja on 6500 tai enemmän, ja muut ajoneuvomäärät on suhteutettu tähän.</t>
  </si>
  <si>
    <t>Osa näistä on ehkä mahdollista arvioida rahallisesti myöhemmin</t>
  </si>
  <si>
    <r>
      <t>Dynaamiset vaikutukset</t>
    </r>
    <r>
      <rPr>
        <sz val="11"/>
        <rFont val="Calibri"/>
        <family val="2"/>
        <scheme val="minor"/>
      </rPr>
      <t xml:space="preserve"> (vapautunut tila autokaistoilla ja pysäköintipaikoilla täyttyy osittain mm. Kutsuplussan palvelualueen ulkopuolelta tulevilla henkilöautoilla)</t>
    </r>
  </si>
  <si>
    <t>neutraali</t>
  </si>
  <si>
    <t>optimistinen</t>
  </si>
  <si>
    <t>kerroin</t>
  </si>
  <si>
    <t>Arviot:</t>
  </si>
  <si>
    <t>Kehä III:n sisäpuolelta ovat Linnaisten ja Kaivokselan linjat, joita hoidetaan pienkalustolla tai takseilla.</t>
  </si>
  <si>
    <t xml:space="preserve">että Kutsuplus-autoilla voidaan hoitaa koulumatkayhteydet. Useimmiten näillä linjoilla aamun yksittäinen vuoro voi kuormittua koululaisista </t>
  </si>
  <si>
    <t xml:space="preserve">eli tarvittaisiin hetkellisesti noin 3 Kutsuplus-autoa/poistettavaa linja. Muuna aikana riittäisi 1-2 Kutsuplus-autoa/poistettava linja hoitamaan koulumatkayhteyksiä.  
</t>
  </si>
  <si>
    <t>Osa linjoista ajetaan jo nykyisin pienkalustolla eli koululaisetkin mahtuisivat yhteen Kutsuplus-autoon.</t>
  </si>
  <si>
    <t>Säästöt bussiliikenteen operointikustannuksista, milj. € / vuosi</t>
  </si>
  <si>
    <t>Säästöt tieinvestoinneista, milj. € / vuosi</t>
  </si>
  <si>
    <t>- 8000 Kutsuplus-auton kohdalla on arvioitu, että myös muilla vähäisemmän liikenteen alueilla bussiliikenteen matkustajamäärät laskisivat</t>
  </si>
  <si>
    <t>- 2,5 milj. € /vuosi liikennöintikustannussäästö syntyy, jos muutama linja lopetetaan ja suuremmalta osalta lopetetaan ilta- ja viikonloppuliikenne (linjoilla erittäin vähäiset matkustajamäärät)</t>
  </si>
  <si>
    <t>Palvelulinjojen korvaaminen Kutsuplus-liikenteellä</t>
  </si>
  <si>
    <t>Palvelulinjakonsepteja on HSL-alueella useita erilaisia käytössä eri kuntien alueilla.</t>
  </si>
  <si>
    <t>Lisäksi olisi otettava huomioon palvelulinjojen nykyisten asiakkaiden erityistarpeet, mm.</t>
  </si>
  <si>
    <t>- kaluston esteettömyys</t>
  </si>
  <si>
    <t>- matkan tilaamisen helppous</t>
  </si>
  <si>
    <t>- pysäkkien / virtuaalipysäkkien sijainti, esim. palvelutalojen pihat, sairaalat yms.</t>
  </si>
  <si>
    <t>Henkilöautoja jää hankkimatta, kpl</t>
  </si>
  <si>
    <t>Koska myös Kutsuplus-ajoneuvot tarvitsevat pysäköinti- ja muuta tilaa,</t>
  </si>
  <si>
    <t>on kaavassa vähennetty hankkimatta jäävistä henkilöautoista Kutsuplus-ajoneuvojen määrä</t>
  </si>
  <si>
    <t>HUOMIOITA</t>
  </si>
  <si>
    <t>Dynaamisten vaikutusten arvot ovat siis kuitenkin lähes puhtaita arvioita.</t>
  </si>
  <si>
    <t>http://www.hel.fi/static/public/hela/Kaupunkisuunnittelulautakunta/Suomi/Esitys/2009/Ksv_2009-04-02_Kslk_11_El/542F8043-0490-4D7A-9AE6-4B8FA277F87B/Autopaikkatyoryhman_loppuraportti.pdf</t>
  </si>
  <si>
    <t>http://www.hel.fi/hel2/ksv/julkaisut/los_2013-1.pdf</t>
  </si>
  <si>
    <t>Helsingin pysäköintipolitiikka (17.2.2014), Helsingin kaupunkisuunnitteluviraston liikennesuunnitteluosaston selvityksiä 2013:1</t>
  </si>
  <si>
    <t>Suunnilleen samoja lukuja on käytetty Helsingin pysäköintipolitiikka -selvityksessä (ks. alla "Pysäköintipaikan tilantarve")</t>
  </si>
  <si>
    <t>Autopaikan rakentamiskustannukset</t>
  </si>
  <si>
    <t>Säästöt palveluliikenteen operointikustannuksista, milj. € / vuosi</t>
  </si>
  <si>
    <t>Ks. välilehti "HLJ-hankkeet"</t>
  </si>
  <si>
    <t>Säästöpotentiaalin muodostavat HLJ2015:n mukaiset tieinvestoinnit, jotka mahdollisesti voitaisiin jättää toteuttamatta, kun Kutsuplus on riittävän laaja.</t>
  </si>
  <si>
    <t>- Peruslukuina (neutraali) on käytetty HLJ2015:n kauden 2016-2025 hankkeita.</t>
  </si>
  <si>
    <t>Niiden kertoimia (oikeassa reunassa kullakin rivillä) voi muuttaa.</t>
  </si>
  <si>
    <t>Optimistinen ja pessimistinen arvio</t>
  </si>
  <si>
    <r>
      <t xml:space="preserve">Melko </t>
    </r>
    <r>
      <rPr>
        <b/>
        <sz val="11"/>
        <color theme="1"/>
        <rFont val="Calibri"/>
        <family val="2"/>
        <scheme val="minor"/>
      </rPr>
      <t>varmat</t>
    </r>
    <r>
      <rPr>
        <sz val="11"/>
        <color theme="1"/>
        <rFont val="Calibri"/>
        <family val="2"/>
        <scheme val="minor"/>
      </rPr>
      <t xml:space="preserve"> parametrit ovat vaalean vihreällä pohjalla</t>
    </r>
  </si>
  <si>
    <t>- tarpeettoman kapasiteetin vähentäminen (joukkoliikenne, parkkipaikat)</t>
  </si>
  <si>
    <t>Helsinki</t>
  </si>
  <si>
    <t>Nykytila</t>
  </si>
  <si>
    <t>Espoo</t>
  </si>
  <si>
    <t>Vantaa</t>
  </si>
  <si>
    <t>HSL:n liikennöintisuunnitelmat, tilastot ja suunnitelmat</t>
  </si>
  <si>
    <t>Palvelulinjojen (palvelulinjatyyppisten linjojen) liikennöintikustannukset, karkealla tasolla</t>
  </si>
  <si>
    <t>Punaisella pohjalla on esitetty pessimistinen ja neutraali/optimistinen arvio.</t>
  </si>
  <si>
    <t>Palvelulinjojen säästöt, milj. € / vuosi</t>
  </si>
  <si>
    <t>Yhteenveto, pessimistinen / neutraali / optimistinen</t>
  </si>
  <si>
    <t>Pessimistinen</t>
  </si>
  <si>
    <t>Neutraali</t>
  </si>
  <si>
    <t>Optimistinen</t>
  </si>
  <si>
    <t>HUOM! Tämä laskelma on kiinteä, ajoneuvomäärän muuttaminen muuttaa ainoastaan tieinvestointeja!</t>
  </si>
  <si>
    <t>Summa</t>
  </si>
  <si>
    <t>Pessimistinen arvio</t>
  </si>
  <si>
    <t>Neutraali arvio</t>
  </si>
  <si>
    <t>Optimistinen arvio</t>
  </si>
  <si>
    <t>Erotustaulukko kuvaajaa varten</t>
  </si>
  <si>
    <t>Pitkän aikavälin vaikutukset, yhteenveto (miljoonaa € / vuosi)</t>
  </si>
  <si>
    <t>Pysäköintipaikkojen tilankäyttö</t>
  </si>
  <si>
    <t>Tässä on huomioitu 1 pysäköintipaikka / auto, eli autopaikka asunnon yhteydessä</t>
  </si>
  <si>
    <t>Todellisuudessa säästöä tulisi enemmän, kun myös työpaikkojen ja asiointipaikkojen yhteyteen voitaisiin rakentaa vähemmän autopaikkoja.</t>
  </si>
  <si>
    <t xml:space="preserve">Summa vaihtelee hyvin paljon sen mukaan, mitä vaihtoehtoista käyttöä pysäköintipaikkojen viemälle tilalle on </t>
  </si>
  <si>
    <t>(asuintorni, kerrostalo, kahvila, toimisto, omakotitalo, puisto, pyöräkaista).</t>
  </si>
  <si>
    <t>Kuinka paljon hyötyä pysäköintipaikasta saataisiin muussa käytössä kuin pysäköintipaikka.</t>
  </si>
  <si>
    <t>Hyötyä vaihtoehtoisesta käyttötarkoituksesta, € / vuosi</t>
  </si>
  <si>
    <t>Karkea arvio Helsingistä on, että jokaista autoa kohti on 3 pysäköintipaikkaa (koti, työpaikka, ostos- ja harrastuspaikat jne.).</t>
  </si>
  <si>
    <t>Pysäköintipaikkojen rakentamis-kustannukset, milj. € / vuosi</t>
  </si>
  <si>
    <t>Pysäköintipaikkojen tilankäyttö, milj. € / vuosi</t>
  </si>
  <si>
    <t>Huomioidaan 2 pysäköintipaikkaa / hankkimatta jäänyt auto. Käytetään maan arvoa 200 €/m2, ja jaetaan 10 vuodelle.</t>
  </si>
  <si>
    <t>Ruuhkautumisen vähentyminen</t>
  </si>
  <si>
    <t>Ruuhkautumisen vähentyminen liittyy matka-aikasäästöihin.</t>
  </si>
  <si>
    <t>Matka-aikasäästöjen sijaan on arvioitu erikseen Kutsuplus-käyttäjien tehottoman ajankäytön vähenemistä (ks. varsinaiset laskelmat) niillä yksikköarvoilla, joilla tavallisesti arvioidaan matka-aikasäästöjä.</t>
  </si>
  <si>
    <t>Ajoneuvojen määrä tieverkolla vähenee henkilöautojen korvautuessa Kutsuplus-ajoneuvoilla, joissa on keskimäärin henkilöautoa enemmän matkustajia.</t>
  </si>
  <si>
    <t>Tällöin ruuhkautumisen vähentyessä tieverkolle jäävien käyttäjien matka-aika lyhenee, mistä aiheutuu aikasäästöjä näille henkilöille.</t>
  </si>
  <si>
    <t>kuormituksen on oltava riittävä.</t>
  </si>
  <si>
    <t>Ruuhkautumisen vähentymiseksi Kutsuplus-matkustajien on siirryttävä riittävän paljon henkilöautoista, ja Kutsuplus-ajoneuvojen</t>
  </si>
  <si>
    <t>Ei ehdi?</t>
  </si>
  <si>
    <t>Ehtiikö vaikuttaa, vaikuttaako paketointi sopimukseen? Huomioitu puolet</t>
  </si>
  <si>
    <t>Jos ruuhkautuminen vähenee, häiriöherkkyys vähenee</t>
  </si>
  <si>
    <t>Työ- ja työasiointimatkojen osuus Kutsuplus-matkoista</t>
  </si>
  <si>
    <t>Lyhyen ja keskipitkän aikavälin vaikutukset</t>
  </si>
  <si>
    <t>Keskipitkän aikavälin vaikutukset  - esim. pysäköintipaikkojen tarve - toteutuminen riippuu useita tahoista, voi olla osin nopeaakin</t>
  </si>
  <si>
    <t>Kuinka paljon taksimatkoja seudulla ylipäätään tehdään, onko tämä realistista?</t>
  </si>
  <si>
    <t>Lyhyen ja keskipitkän aikavälin vaikutukset, yhteenveto (miljoonaa € / vuosi)</t>
  </si>
  <si>
    <t>Oletusnopeus 30 km/h</t>
  </si>
  <si>
    <t xml:space="preserve">Lyhyen ja keskipitkän aikavälin vaikutukset, koonti </t>
  </si>
  <si>
    <t>Tässä automäärää voi muuttaa, pessimistisen ja optimistisen välilehden ajoneuvomäärät muuttuvat vastaavasti</t>
  </si>
  <si>
    <t>Maan arvo</t>
  </si>
  <si>
    <r>
      <t>euroa / m</t>
    </r>
    <r>
      <rPr>
        <vertAlign val="superscript"/>
        <sz val="11"/>
        <color theme="1"/>
        <rFont val="Calibri"/>
        <family val="2"/>
        <scheme val="minor"/>
      </rPr>
      <t>2</t>
    </r>
  </si>
  <si>
    <t>Lisäksi: käytetään karkeaa arviota maan arvolle, kun sitä voidaan käyttää muuhun kuin pysäköintiin.</t>
  </si>
  <si>
    <t>Huomioidaan 2 pysäköintipaikkaa / hankkimatta jäänyt auto. Jaetaan 10 vuodelle.</t>
  </si>
  <si>
    <t>Parametrit ja matkamäärälaskelmat</t>
  </si>
  <si>
    <t>Vaikutukset</t>
  </si>
  <si>
    <t>Kuvaaja</t>
  </si>
  <si>
    <t>Ao. prosenteissa on huomioitava myös se, mistä kulkumuodosta matkustajien ajatellaan siirtyvän (tunnit lasketaan kaikista Kutsuplus-matkoista, ei vain henkilöauton kuljettajista siirtyneistä)</t>
  </si>
  <si>
    <t>(Kuinka iso osa käyttäjistä voi hyödyntää, ja kuinka suuren osan ajasta)</t>
  </si>
  <si>
    <t>Liikenne % (karkea arvio HELMET-mallista, ei sisällä esim. tonttikatuja)</t>
  </si>
  <si>
    <t>Muuta Kutsuplussan onnettomuusalttiuteen vaikuttavaa pohdintaa</t>
  </si>
  <si>
    <t>Työn aikana tunnistettiin seuraavia syitä, joiden nojalla Kutsuplussan voidaan olettaa olevan turvallisempi liikennemuoto kuin henkilöauton:</t>
  </si>
  <si>
    <t>Siirtyminen henkilöautosta Kutsuplussaan poistaa liikennettä tonttikaduilta suuremmille kaduille, kun ihmiset kävelevät parkkipaikan sijaan lähimmälle bussipysäkille</t>
  </si>
  <si>
    <t>1)</t>
  </si>
  <si>
    <t>Tonttikadut</t>
  </si>
  <si>
    <t>km</t>
  </si>
  <si>
    <t>on tonttikatujen vähenevä onnettomuuskustannus</t>
  </si>
  <si>
    <t>Onnettomuusasteet (hv-onn/100 milj. ajon.km)</t>
  </si>
  <si>
    <t>€ / km ja siten</t>
  </si>
  <si>
    <t>Jos oletetaan, että jokainen henkilöauton kuljettajasta Kutsuplussaan siirtynyt matka poistaa liikennettä tonttikadulta</t>
  </si>
  <si>
    <t>€ / poistuva henkilöauton kuljettajana tehty matka</t>
  </si>
  <si>
    <t>2)</t>
  </si>
  <si>
    <t>Tonttikatujen onnettomuuskustannussäästöt € / vuosi</t>
  </si>
  <si>
    <t>Tällöin tonttikatujen onnettomuuksien pitäisi vähentyä, keskimääräistä suurempi onnettomuusaste huomioiden</t>
  </si>
  <si>
    <t>(oletuksena 150 m matka bussipysäkille matkan molemmissa päissä)</t>
  </si>
  <si>
    <t>Onnettomuuskustannukset yhteensä € / vuosi</t>
  </si>
  <si>
    <t>Ammattikuljettajat</t>
  </si>
  <si>
    <t>Kutsuplus-autoja ajavat ammattikuljettajat, joille voidaan olettaa sattuvan vähemmän onnettomuuksia kuin henkilöautojen kuljettajille, koska</t>
  </si>
  <si>
    <t>- heillä on enemmän koulutusta</t>
  </si>
  <si>
    <t>- he ajavat enemmän ja kokemusta kertyy siten enemmän</t>
  </si>
  <si>
    <t xml:space="preserve">      - huomattavaa ylinopeutta, kaahaamista yms.</t>
  </si>
  <si>
    <t xml:space="preserve">      - alkoholin tai huumausaineiden vaikutuksen alaisena ajamista (tähän auttaa myös alkolukko, jota tosin voidaan kiertää, jos auto on käynnissä koko ajan)</t>
  </si>
  <si>
    <t>Vakuutusyhtiöiden liikenneturvallisuustoimikunnan vuosiraportin 2013 mukaan kuolemaan johtaneista moottoriajoneuvo-onnettomuuksista</t>
  </si>
  <si>
    <t xml:space="preserve">noin kolmasosassa pääaiheuttaja ajaa ylinopeutta (&gt;10 km/h), noin neljäsosa on alkoholin vaikutusen alaisena ja noin 15 % molempia. </t>
  </si>
  <si>
    <t>Lähde: VALT-vuosiraportti 2013. Liikenneonnettomuuksien tutkijalautakuntien tutkimat kuolemaan johtaneet tieliikenneonnettomuudet</t>
  </si>
  <si>
    <t>http://www.lvk.fi//templates/vinha/services/download.aspx?fid=325686&amp;hash=3141bc6855d5526551e708309d020dc906e68c0fea9b63ba92e83b97f660f6ad</t>
  </si>
  <si>
    <t>(Raportin kuvio 7, sivu 7. Vuodet 1994-2013, joiden aikana osuudet ovat vaihdelleet hieman, mutta ei ole kasvavaa tai vähenenää trendiä.)</t>
  </si>
  <si>
    <t>Vastaavasti Tilastokeskuksen ja Liikenneturvan raportin Tieliikenneonnettomuut 2013 perusteella tieliikenneonnettomuuksissa kuolleista</t>
  </si>
  <si>
    <t>noin 20 % kuolee rattijuopumustapauksissa, ja loukkaantuneista noin 10 % loukkaantuu rattijuopumustapauksissa.</t>
  </si>
  <si>
    <t>Lähde: Tilastokeskus ja Liikenneturva: Tieliikenneonnettomuudet 2013</t>
  </si>
  <si>
    <t>http://www.liikenneturva.fi/sites/default/files/materiaalit/Tutkittua/Tilastot/tilastokirja/tieliikenneonnettomuudet_2013_netti_id_15139.pdf</t>
  </si>
  <si>
    <t>voi jäädä vähäisemmäksi kuin henkilöautossa, mikä pahentaisi mahdollisten onnettomuuksien seurauksia. Oletetaan kuitenkin, että</t>
  </si>
  <si>
    <t>Kutsuplussan kuljettajat ja matkustajat käyttävät turvavöitä siinä määrin, että eroa ei synny.</t>
  </si>
  <si>
    <t>Ammattiautoiluun siirtymisen varjopuolena voidaan nähdä se, että ammattiliikenteessä sekä kuljettajien että matkustajien turvavyön käyttö</t>
  </si>
  <si>
    <t>- edellisestä johtuen voidaan olettaa että esiintyy henkilöautoilijoita huomattavasti vähemmän tai ei lähes ollenkaan mm.</t>
  </si>
  <si>
    <t>Toinen ero nykytilanteeseen nähden on, että siinä vaiheessä kun Kutsuplus-autoja olisi tuhansia, ei kuljettajia voida enää valikoida,</t>
  </si>
  <si>
    <t>jolloin keskimääräinen kuljettaja voi olla ajotavaltaan lähempänä henkilöautoilijaa kuin nykyistä taksi- ja bussikuskia. Oletetaan kuitenkin,</t>
  </si>
  <si>
    <t>Tehdään näiden perusteella varovainen oletus, että ammattimaiset Kutsuplus-kuljettajat aiheuttavat</t>
  </si>
  <si>
    <t>vähemmän onnettomuuksia kuin henkilöauton kuljettajat alkoholin ja ylinopeuden takia</t>
  </si>
  <si>
    <t>vähemmän onnettomuuksia kuin henkilöauton kuljettajat suuremman ajokokemuksen takia (ei lähdettä, jos esim. HSL:llä on tähän jokin lähde, niin arvoa voi vaihtaa sen mukan)</t>
  </si>
  <si>
    <t>oli keskimääräinen onnettomuusasteemme yltä (/ 100 milj. km)</t>
  </si>
  <si>
    <t>Henkilöauto, onnettomuuskustannukset € / 100 milj. km</t>
  </si>
  <si>
    <t>Henkilöauto, onnettomuuskustannukset € / km</t>
  </si>
  <si>
    <t>Kutsuplus, onnettomuuskustannukset € / 100 milj. km</t>
  </si>
  <si>
    <t>Kutsuplus, onnettomuuskustannukset € / km</t>
  </si>
  <si>
    <t>Tällöin</t>
  </si>
  <si>
    <t>Ja kustannukset:</t>
  </si>
  <si>
    <t>(käytetään samaa taksille, koska siinäkin ammattikuljettajat)</t>
  </si>
  <si>
    <t>Henkilöautokilometrien vähenemästä tulevat säästöt € / vuosi</t>
  </si>
  <si>
    <t>Taksikilometrien vähenemästä tulevat säästöt € / vuosi</t>
  </si>
  <si>
    <t>Kutsuplus-kilometreistä tulevat kustannukset € / vuosi</t>
  </si>
  <si>
    <t>- seuraukset tahallisesta riskinotosta ovat kovemmat kuin henkilöauton kuljettajilla (pahimmillaan työpaikan menetys)</t>
  </si>
  <si>
    <t xml:space="preserve">      - lievää ylinopeutta</t>
  </si>
  <si>
    <t>että pelko työpaikan menettämisestä saa heidät välttämään kaahaamista ja alkoholinkäyttöä työaikana, ja näistä johtuvia onnettomuuksia ei ole.</t>
  </si>
  <si>
    <t>(Taulukko 1 ja taulukko 37, tarkasteltu vuosia 1995-2013)</t>
  </si>
  <si>
    <t>olisi keskimääräinen Kutsuplussan onnettomuusaste (/ 100 milj. km)</t>
  </si>
  <si>
    <t>Suunnitelma (2015/16)</t>
  </si>
  <si>
    <t>Helsingin kantakaupungissa summa on paljonkin korkeampi, mutta toisaalta tiiviin kaupungin ulkopuolella on myös tilanteita, joissa tilaa riittää ja arvo on siten pienempi.</t>
  </si>
  <si>
    <t>jos Kutsuplus-järjestelmä laajenee riittävästi.</t>
  </si>
  <si>
    <t>Suurimmat yksittäiset hankkeet HLJ:n infrastruktuurin kehittämishankkeiden listassa ovat joukkoliikennehankkeita.</t>
  </si>
  <si>
    <t>HUOM!</t>
  </si>
  <si>
    <t>Kutsuplus ei ehtine vaikuttaa</t>
  </si>
  <si>
    <t>Säästö M€</t>
  </si>
  <si>
    <t>M€ / vuosi (jaettuna 10 vuodelle eli 2016-2025)</t>
  </si>
  <si>
    <t>M€ / vuosi (jaettuna 15 vuodelle eli 2026-2040)</t>
  </si>
  <si>
    <t>Bussit keskimäärin</t>
  </si>
  <si>
    <t xml:space="preserve">Lähde: </t>
  </si>
  <si>
    <t>VTT/Veikko Karvonen, sähköposti 14.10.2014</t>
  </si>
  <si>
    <t>Kaupunkibussien päästötietokanta</t>
  </si>
  <si>
    <t>2-akselinen diesel Euro VI -bussi (alustavia tuloksia, laskettu eri kokoluokkien autoken tuloksista työmäärään suhteuttamalla)</t>
  </si>
  <si>
    <t>Bussi (diesel EEV)</t>
  </si>
  <si>
    <t>Bussi (Diesel Euro VI)</t>
  </si>
  <si>
    <t>2-akselinen diesel EEV</t>
  </si>
  <si>
    <t>Käytetään laskennassa nyt EEV-bussia sillä perusteella, että uusimpia Euro VI -busseja ei laitettaisi niille lakkautettaville linjoille, vaan siellä käytettäisiin hieman vanhempaa kalustoa</t>
  </si>
  <si>
    <t>Jos oletus on, että kilometrit vähenisivät uusilta busseilta, niin voi siirtyä käyttämään laskelmassa Euro VI -taulukon arvoja (jos esim. ajatellaan, että tarvitsisi hankkia vähemmän uusia busseja)</t>
  </si>
  <si>
    <t>-kertaisesti tuohon 4,2 miljoonaan euroon verrattuna</t>
  </si>
  <si>
    <t>Kutsuplussaan siirtymisen johdosta, ja löytyisi lisää karsittavaa</t>
  </si>
  <si>
    <t>Ympäristökustannussäästöt, jotka saadaan kun yllämainitut karsimiset tehdään:</t>
  </si>
  <si>
    <t>- 4,2 milj. €/vuosi liikennöintikustannussäästö syntyy, jos samasta karsitusta linjastosta voidaan pääosa linjoista lopettaa kokonaan ja oletetaan,</t>
  </si>
  <si>
    <t>- 2,5 milj. € / vuosi säästöt vastaavat sitä, että bussikilometrit vähenevät n. 1,07 milj. km / vuosi</t>
  </si>
  <si>
    <t>- 4,2 milj. € / vuosi säästöt vastaavat sitä, että bussikilometrit vähenevät n. 1,89 milj. km / vuosi</t>
  </si>
  <si>
    <t>- 8000 Kutsuplus-auton kohdalla käytetään samaa kerrointa kuin yllä:</t>
  </si>
  <si>
    <t>Ympäristökustannusssäästöt, milj. € / vuosi</t>
  </si>
  <si>
    <t>- kiireettömyys ja "laajennettu" asiakaspalvelu asiakkaiden tarpeiden mukaisesti</t>
  </si>
  <si>
    <t>Tässä ei ole erikseen arvioitu vähenevistä kilometreistä syntyviä ympäristökustannussäästöjä. Suuruusluokkaa voi arvioida yllä olevien</t>
  </si>
  <si>
    <t>Ajatus siitä, että ympäristökustannussäästöjä syntyy, perustuu siis siihen, että palvelulijoista siirtyvien asiakkaiden matkat ovat jo mukana</t>
  </si>
  <si>
    <t>koska palvelulinjojen kalusto on jo valmiiksi lähellä Kutsuplus-kaluston kokoa. Suora rahallinen säästö on siis paljon merkittävämpi.</t>
  </si>
  <si>
    <t>laskelman "kaikissa Kutsuplussalla tehtävissä matkoissa" ja niiden ympäristökustannuksissa.</t>
  </si>
  <si>
    <t>reuna-alueiden ympäristökustannussäästöjen perusteella (kymmeniä tai korkeintaan satojatuhansia euroja vuodessa), mutta säästöt olisivat pienempiä kuin normaalibusseilla,</t>
  </si>
  <si>
    <t>- 130 %:n optimistinen arvio perustuu siihen, että HLJ2015:ssä kaudella 2026-2040 säästöpotentiaali on hieman suurempi kuin kaudella 2016-2025</t>
  </si>
  <si>
    <t>Reuna-alueiden joukkoliikenteen säästöt yhteensä, milj. € / vuosi</t>
  </si>
  <si>
    <t>pessimistinen</t>
  </si>
  <si>
    <t>Oletus: käyttäjämäärät kasvavat markkinoinnin yms. ansioista sellaiselle tasolle, kuin laskelman parametriksi kulloinkin annetaan</t>
  </si>
  <si>
    <t>VPL- ja SHL-asiakkaiden matkat</t>
  </si>
  <si>
    <t>(Koska osassa karsittavasta liikenteestä käytetään jo pienkalustoa, ja säästöarvio on täysikokoiselle bussille, säästöarvio on hieman liian suuri.</t>
  </si>
  <si>
    <t>Suuruusluokka lienee kuitenkin kohdallaan.)</t>
  </si>
  <si>
    <t>Tarjonnan vähentäminen reuna-alueilla edellyttäisi, että ko. alueilta pääsisi Kutsuplussalla normaalin joukkoliikennelipun hinnalla</t>
  </si>
  <si>
    <t>Tässä laskelmassa karsinnan kohteena olevat linjat liikennöivät pääosin Kehä III:n ulkopuolelle.</t>
  </si>
  <si>
    <t>Palvelulinjojen korvaaminen Kutsuplus-liikenteellä edellyttäisi ensinnäkin samantyyppisiä muutoksia kuin reuna-alueiden liikenteen</t>
  </si>
  <si>
    <t>korvaaminen Kutsuplus-liikenteellä (mm. hinnoittelujärjestelmän integrointi).</t>
  </si>
  <si>
    <t>vähintäänkin runkojoukkoliikenteen pysäkille tai asemalle.</t>
  </si>
  <si>
    <t>Tällaisestä liikennöinti- ja hinnoittelujärjestelmän suunnittelusta ja käytännön integroinnista aiheutuisi omat kustannuksensa, joita ei ole tässä laskelmassa otettu huomioon.</t>
  </si>
  <si>
    <t>Seuraavassa on haarukoitu, millaisia säästöjä suuruusluokaltaan voitaisiin saada, jos oletetaan,</t>
  </si>
  <si>
    <t>että Kutsuplussan ansiosta voitaisiin muustakin kuin reuna-alueiden bussiliikenteestä säästää.</t>
  </si>
  <si>
    <t xml:space="preserve">HSL:n bussiliikenteen liikennöintikustannukset ilman Kutsuplussaa ja ympäristöbonuksia ovat 319 milj. eur / vuosi. </t>
  </si>
  <si>
    <t>- 2,5 %:n säästö olisi noin 8 milj. eur / vuosi (oletetaan tämä 5000 auton kohdalla)</t>
  </si>
  <si>
    <t>- 5 %:n säästö olisi noin 16 milj. eur / vuosi (oletetaan tämä 8000 auton kohdalla)</t>
  </si>
  <si>
    <t>etenkin jos oletetaan, että Kutsuplussan käyttäjät tulevat autoiljoista, joista osa luopuu autostaan tai ei hanki autoa,</t>
  </si>
  <si>
    <t>ja siirtyy käyttämään Kutsuplussaa ja joukkoliikennettä rinnakkain.</t>
  </si>
  <si>
    <t>Ei kuitenkaan ole mitenkään selvää, että nämä säästöt pystyttäisiin todellisuudessa tekemään,</t>
  </si>
  <si>
    <t>Yleinen bussiliikenteen tarjonnan vähentäminen</t>
  </si>
  <si>
    <t>Arvioidaan vielä ympäristökustannussäästöt vähenevälle bussiliikenteelle reuna-alueiden bussiliikenteen arvojen perusteella (suhteessa kustannuksiin)</t>
  </si>
  <si>
    <t>- 2,5 %:n eli 8 milj. euron säästöjä vastaisi</t>
  </si>
  <si>
    <t>kerroin, jolla saadaan vuosikilometrit kustannuksista</t>
  </si>
  <si>
    <t xml:space="preserve">milj. km vähenevää bussiliikennettä ja </t>
  </si>
  <si>
    <t>- 5 %:n eli 16 milj. euron säästöjä vastaisi</t>
  </si>
  <si>
    <t>milj. km vähenevää bussiliikennettä</t>
  </si>
  <si>
    <t>Yleisen bussiliikenteen vähentämisen säästöt yhteensä, milj. € / vuosi</t>
  </si>
  <si>
    <t>Bussiliikenteen yleisen vähentämisen säästöt, milj. € / vuosi</t>
  </si>
  <si>
    <t>- joukkoliikenteen subventioasteen pienentäminen? (ei arvioitu tässä)</t>
  </si>
  <si>
    <t>Siirtymät muista kulkutavoista perustuvat oletuksiin ja tavoitteisiin, luotettavia lähtötietoja ei ole saatavissa.</t>
  </si>
  <si>
    <t>Tavoitteena on, että suuri osa käyttäjistä siirtyisi henkilöautosta.</t>
  </si>
  <si>
    <t>Siksi laskelman käyttäjän on suotavaa kokeilla, mitä erilaisilla osuuksilla laskelmassa tapahtuu (erilaisten skennarioiden määrittely).</t>
  </si>
  <si>
    <t>Kuitenkin pääkaupunkiseudun talouksista 40 % on autottomia, ja Helsingin talouksista vielä suurempi osuus. Lienee epärealistista olettaa,</t>
  </si>
  <si>
    <t>että nämä eivät lainkaan käyttäisi Kutsuplussaa, vaikka hintaherkkiä olisivatkin.</t>
  </si>
  <si>
    <t>Lisäksi monella joukkoliikenteen vakiokäyttäjistä kunnan sisäisen liikenteenkausilippu, jolloin Kutsuplus</t>
  </si>
  <si>
    <t>voisi kunnan rajat ylittävillä, usein vaihtoja sisältävillä matkoilla olla paitsi kätevä myös suhteellisen edullinen vaihtoehto seutulippuun verrattuna.</t>
  </si>
  <si>
    <t>Vaikutuksia ei ole nyt arvioitu, koska ne sekoittuvat muihin varsinaisiin kustannusasioihin (Kutsuplussan kustannukset, kuluttajilta perittävät maksut, joukkoliikenteen liikennöintikustannukset). Kaikki kustanukset ja tuotot pitäisi arvioida samalla.</t>
  </si>
  <si>
    <t>Pitkällä aikavälillä esiin tulevat vaikutukset</t>
  </si>
  <si>
    <t>(neutraali)</t>
  </si>
  <si>
    <t>Lyhyt ja keskipitkä aikaväli</t>
  </si>
  <si>
    <t>Summa (tarkistus)</t>
  </si>
  <si>
    <t>Yhteensä (tarkistus)</t>
  </si>
  <si>
    <t>Pitkä aikaväli</t>
  </si>
  <si>
    <t>Laskettu yhteen lyhyen ja keskipitkän aikavälin vaikutkset sekä pitkällä aikavälillä esiin tulevat vaikutukset</t>
  </si>
  <si>
    <t>(neutraali skenaario)</t>
  </si>
  <si>
    <t>Vammais (VpL)- ja sosiaalihuoltolain (ShL) mukaisten kuljetuspalveluasiakkaiden määrät ja matkakorvaukset</t>
  </si>
  <si>
    <t>Vuosi 2014</t>
  </si>
  <si>
    <t>VpL-asiakkaita</t>
  </si>
  <si>
    <t>ShL-asiakkaita</t>
  </si>
  <si>
    <t>yhteensä</t>
  </si>
  <si>
    <t>VpL-kuljetukset, eur/v</t>
  </si>
  <si>
    <t>ShL-kuljetukset, eur/v</t>
  </si>
  <si>
    <t>Omavastuu/matka</t>
  </si>
  <si>
    <t>Omavastuut, eur/v</t>
  </si>
  <si>
    <t>Eur/matka</t>
  </si>
  <si>
    <t>ShL- ja VpL-asiakkaiden matkoja voidaan siirtää kokonaan tai osittain Kutsuplussaan ja tästä voisi olla mahdollista saada säästöjä.</t>
  </si>
  <si>
    <t xml:space="preserve">     - ShL- ja VpL-matkojen yhdistely edellytää erityisvaatimuksia Kutsuplussan autoilta: autojen tulee olla mieluiten matalalattiaisia,</t>
  </si>
  <si>
    <t xml:space="preserve">     - ShL- ja VpL-asiakkaat ovat osin erittäin hitaasti liikkuvia, minkä vuoksi heitä ei ole tunnistettu lähilinjojen keskeisimmäksi asiakasryhmäksi.</t>
  </si>
  <si>
    <t xml:space="preserve">        vaihtoehtoisesti osalle riittää, että autoissa on invahissi. Matalalattiaisissa autoissa tulee varmistaa aina pyörätuolien turvallinen kiinnitys.</t>
  </si>
  <si>
    <t xml:space="preserve">        ShL- ja VpL-asiakkaat voivat siten hetkellisesti vähentää Kutsuplussan tehokkuutta, koska kyytiin nousemiseen ja poistumiseen on varattava enemmän aikaa.</t>
  </si>
  <si>
    <t xml:space="preserve">       Välttämättä tavallisia matkoja (Kutsuplus-matkansa itse maksavia asiakkaita) ei ole pidemmän matka-ajan vuoksi mielekästä yhdistää samalle matkalle ainakaan lyhyillä matkoilla.</t>
  </si>
  <si>
    <t xml:space="preserve">     - Säästöä kuitenkin syntyy synergiaetujen kautta. Silloin kun ShL- ja VpL-asiakkaita ei ole, ajoneuvot ovat heti muussa käytössä.</t>
  </si>
  <si>
    <t>Tekijöitä, jotka vähentävä säästömahdollisuuksia:</t>
  </si>
  <si>
    <t xml:space="preserve">      - VPL- ja SHL-matkoja yhdistellään jo nyt -&gt; pienentää säästöpotentiaalia</t>
  </si>
  <si>
    <t xml:space="preserve">      - Autot ovat osittain jo nyt muussa käytössä (esim. takseina) muuna aikana -&gt; synergiahyödy on osin jo saatu</t>
  </si>
  <si>
    <t xml:space="preserve">        vaikea saada kustannussäästöjä. Tämä aiheutuu siitä, että takseille maksetaan vain silloin, kun ne ovat ajossa, kun taas palvelulinjoilla liikennöidään koko liikennöintiajan.</t>
  </si>
  <si>
    <t xml:space="preserve">        Nykyisen kustannustason saavuttaminen edellyttäisi koko ajan hyvää kuormitusta. Kun matkoja ei ole samalla suunnalla merkittävästi, yhdistelyn osuus jää pieneksi.</t>
  </si>
  <si>
    <t xml:space="preserve">     - Kutsuplussalla voidaan saavuttaa kuitenkin kutsuohjauksisia palvelulinjoja parempi kustannustehokkuus:</t>
  </si>
  <si>
    <t xml:space="preserve">            - Matkoja on enemmän ja autot voivat saada paremmin uuden asiakkaan, kun ShL- /VpL-asiakas on jäänyt kyydissä. Tyhjänä ajo vähentyy merkittävästi -&gt; matkustaja-km/ajoneuvo-km kasvaa.</t>
  </si>
  <si>
    <t xml:space="preserve">            - Osa ShL- ja VpL-matkoista on pitkiä, kun taas kutsuohjauksisten linjojen palvelualueet suppeat. Kutsuplussan laaja palvelualue mahdollistaa yhdistelyn tällöinkin.</t>
  </si>
  <si>
    <t xml:space="preserve">           - Kutsuplus-autot ovat tehokkaamassa käytössä silloinkin, kun ShL- /VpL-asiakkaita ei ole.</t>
  </si>
  <si>
    <t xml:space="preserve">     - ShL- ja VpL-asiakkaiden matkat ovat edellyttävät usein ovelta-ovelle-matkoja. Tämä edellyttää muutoksia yhdistelyohjelmistoon.</t>
  </si>
  <si>
    <t xml:space="preserve">      - Esimerkiksi Vantaan palvelulinjastosuunnitelman yhteydessä on arvioitu, että nykyisiin taksilla tehtäviin VPL- ja SHL-matkoihin nähden on enää </t>
  </si>
  <si>
    <t>VpL-matkoja/v</t>
  </si>
  <si>
    <t>ShL-matkoja/v</t>
  </si>
  <si>
    <t>yhteensä/v</t>
  </si>
  <si>
    <t>yhteensä, eur/v</t>
  </si>
  <si>
    <t>Kokonaiskulj. kust. yht., eur/v</t>
  </si>
  <si>
    <t>Osuus, joka erilliskuljetuksista voidaan korvata Kutsuplussalla</t>
  </si>
  <si>
    <t xml:space="preserve">Neutraali </t>
  </si>
  <si>
    <t>Pessimistinen: vain ShL-kuljetukset korvataan Kutsuplussalla</t>
  </si>
  <si>
    <t>yht.</t>
  </si>
  <si>
    <t>VpL- ja ShL-kuljetuksista aiheutuvat säästöt, eur/v</t>
  </si>
  <si>
    <t>Lyhyt ja keskipitkä aikaväli, vaikutukset miljoonaa €/v</t>
  </si>
  <si>
    <t>Pitkällä aikavälillä esiin tulevat vaikutukset, miljoonaa €/v</t>
  </si>
  <si>
    <t>Yhteensä lyhyt + keskipitkä + pitkällä esiin tulevat, miljoonaa €/v</t>
  </si>
  <si>
    <t>Vaikutukset, miljoonaa €/v</t>
  </si>
  <si>
    <t>Ajoneuvojen määrä on kiinteä, koska pitkän aikavälin arvion ajoneuvomäärä on kiinteä</t>
  </si>
  <si>
    <t>Positiivinen arvo tarkoittaa väheneviä kustannuksia, ts. hyötyjä</t>
  </si>
  <si>
    <t>Negatiivinen arvo tarkoittaa kasvavia kustannuksia, ts. haittaa</t>
  </si>
  <si>
    <t/>
  </si>
  <si>
    <r>
      <t xml:space="preserve">Näitä voi siirtää kalvoille esiteltäväksi (tässä </t>
    </r>
    <r>
      <rPr>
        <i/>
        <u/>
        <sz val="11"/>
        <color theme="1"/>
        <rFont val="Calibri"/>
        <family val="2"/>
        <scheme val="minor"/>
      </rPr>
      <t>hyödyt positiivisina</t>
    </r>
    <r>
      <rPr>
        <i/>
        <sz val="11"/>
        <color theme="1"/>
        <rFont val="Calibri"/>
        <family val="2"/>
        <scheme val="minor"/>
      </rPr>
      <t xml:space="preserve"> lukuina):</t>
    </r>
  </si>
  <si>
    <r>
      <t xml:space="preserve">Näitä voi siirtää kalvoille esiteltäväksi (tässä </t>
    </r>
    <r>
      <rPr>
        <i/>
        <u/>
        <sz val="11"/>
        <color theme="1"/>
        <rFont val="Calibri"/>
        <family val="2"/>
        <scheme val="minor"/>
      </rPr>
      <t>hyödyt negatiivisina</t>
    </r>
    <r>
      <rPr>
        <i/>
        <sz val="11"/>
        <color theme="1"/>
        <rFont val="Calibri"/>
        <family val="2"/>
        <scheme val="minor"/>
      </rPr>
      <t xml:space="preserve"> lukuina):</t>
    </r>
  </si>
  <si>
    <t>Tässä laatikossa:</t>
  </si>
  <si>
    <t>Hyödyt positiivisina lukuina -yhteenvedot täällä oikeassa sivussa:</t>
  </si>
  <si>
    <t>Kutsuplus-ajoneuvomäärä</t>
  </si>
  <si>
    <t>VpL- ja ShL-kuljetuksista aiheutuvat säästöt, miljoonaa €/v</t>
  </si>
  <si>
    <t xml:space="preserve">    ShL</t>
  </si>
  <si>
    <t xml:space="preserve">    VpL</t>
  </si>
  <si>
    <t>Yhteensä lyhyt + keskipitkä + pitkällä esiin tulevat + ShL/VpL, miljoonaa €/v</t>
  </si>
  <si>
    <t>VpL- ja ShL-kuljetuksista aiheutuvat säästöt, milj. €/v</t>
  </si>
  <si>
    <t>VpL ja ShL</t>
  </si>
  <si>
    <t>Punaisella pohjalla on esitetty pessimistinen ja optimistinen arvio.</t>
  </si>
  <si>
    <t>Laskettu yhteen lyhyen ja keskipitkän aikavälin vaikutkset sekä pitkällä aikavälillä esiin tulevat vaikutukset, sekä ShL- ja VpL- kuljetusten vaikutukset</t>
  </si>
  <si>
    <t>Neutraali skenaario</t>
  </si>
  <si>
    <t>Pessimistinen skenaario</t>
  </si>
  <si>
    <t>Optimistinen skenaario</t>
  </si>
  <si>
    <t>Pitkä aikaväli, sisältäen ShL- ja VpL-kuljetukset</t>
  </si>
  <si>
    <t>*</t>
  </si>
  <si>
    <t>* Vantaalla omavastuu on joukkoliikenteen taksan mukainen. VpL kertamaksoissa kuitenkin omavastuu 1 euro vähemmän, koska tilausmaksu on 1 euro.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</si>
</sst>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quotePrefix="1"/>
    <xf numFmtId="0" fontId="4" fillId="0" borderId="0" xfId="0" quotePrefix="1" applyFont="1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1" xfId="0" applyBorder="1"/>
    <xf numFmtId="0" fontId="5" fillId="0" borderId="0" xfId="0" applyFont="1"/>
    <xf numFmtId="0" fontId="5" fillId="0" borderId="1" xfId="0" applyFont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6" fillId="0" borderId="0" xfId="0" applyFont="1"/>
    <xf numFmtId="3" fontId="0" fillId="0" borderId="0" xfId="0" applyNumberFormat="1"/>
    <xf numFmtId="0" fontId="0" fillId="3" borderId="5" xfId="0" applyFill="1" applyBorder="1"/>
    <xf numFmtId="3" fontId="0" fillId="3" borderId="6" xfId="0" applyNumberFormat="1" applyFill="1" applyBorder="1"/>
    <xf numFmtId="0" fontId="0" fillId="3" borderId="7" xfId="0" applyFill="1" applyBorder="1"/>
    <xf numFmtId="0" fontId="0" fillId="0" borderId="1" xfId="0" applyBorder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/>
    <xf numFmtId="0" fontId="4" fillId="0" borderId="0" xfId="0" applyFont="1"/>
    <xf numFmtId="0" fontId="3" fillId="2" borderId="0" xfId="0" applyFont="1" applyFill="1"/>
    <xf numFmtId="0" fontId="0" fillId="4" borderId="0" xfId="0" applyFill="1"/>
    <xf numFmtId="0" fontId="0" fillId="4" borderId="1" xfId="0" applyFill="1" applyBorder="1"/>
    <xf numFmtId="0" fontId="0" fillId="4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/>
    <xf numFmtId="1" fontId="0" fillId="4" borderId="0" xfId="0" applyNumberFormat="1" applyFill="1"/>
    <xf numFmtId="3" fontId="0" fillId="0" borderId="0" xfId="0" applyNumberFormat="1" applyFill="1"/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Alignment="1">
      <alignment horizontal="left" vertical="center" wrapText="1"/>
    </xf>
    <xf numFmtId="0" fontId="9" fillId="0" borderId="0" xfId="0" applyFont="1" applyFill="1"/>
    <xf numFmtId="0" fontId="0" fillId="0" borderId="0" xfId="0" applyAlignment="1">
      <alignment horizontal="center" wrapText="1"/>
    </xf>
    <xf numFmtId="164" fontId="0" fillId="4" borderId="0" xfId="0" applyNumberFormat="1" applyFill="1"/>
    <xf numFmtId="0" fontId="11" fillId="0" borderId="0" xfId="0" applyFont="1"/>
    <xf numFmtId="0" fontId="0" fillId="0" borderId="0" xfId="0" applyAlignment="1">
      <alignment horizontal="right"/>
    </xf>
    <xf numFmtId="9" fontId="0" fillId="0" borderId="0" xfId="0" applyNumberFormat="1"/>
    <xf numFmtId="0" fontId="0" fillId="4" borderId="0" xfId="0" applyFill="1" applyAlignment="1">
      <alignment horizontal="center"/>
    </xf>
    <xf numFmtId="165" fontId="0" fillId="0" borderId="0" xfId="0" applyNumberFormat="1"/>
    <xf numFmtId="9" fontId="0" fillId="0" borderId="0" xfId="1" applyFont="1" applyFill="1"/>
    <xf numFmtId="9" fontId="0" fillId="4" borderId="0" xfId="1" applyFont="1" applyFill="1"/>
    <xf numFmtId="166" fontId="0" fillId="0" borderId="0" xfId="0" applyNumberFormat="1"/>
    <xf numFmtId="1" fontId="0" fillId="0" borderId="0" xfId="0" applyNumberForma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0" xfId="0" applyFont="1"/>
    <xf numFmtId="0" fontId="0" fillId="5" borderId="12" xfId="0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0" fillId="0" borderId="13" xfId="0" applyBorder="1"/>
    <xf numFmtId="0" fontId="0" fillId="3" borderId="0" xfId="0" applyFill="1"/>
    <xf numFmtId="0" fontId="0" fillId="3" borderId="11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2" fillId="0" borderId="0" xfId="0" applyFont="1"/>
    <xf numFmtId="4" fontId="0" fillId="0" borderId="0" xfId="0" applyNumberFormat="1"/>
    <xf numFmtId="3" fontId="0" fillId="0" borderId="0" xfId="0" applyNumberFormat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12" fillId="0" borderId="0" xfId="0" applyFont="1" applyBorder="1"/>
    <xf numFmtId="3" fontId="0" fillId="3" borderId="0" xfId="0" applyNumberFormat="1" applyFill="1"/>
    <xf numFmtId="0" fontId="0" fillId="0" borderId="1" xfId="0" applyBorder="1" applyAlignment="1">
      <alignment horizontal="right"/>
    </xf>
    <xf numFmtId="2" fontId="0" fillId="3" borderId="11" xfId="0" applyNumberFormat="1" applyFill="1" applyBorder="1"/>
    <xf numFmtId="0" fontId="0" fillId="0" borderId="0" xfId="0" applyFont="1" applyAlignment="1">
      <alignment horizontal="right"/>
    </xf>
    <xf numFmtId="0" fontId="13" fillId="0" borderId="0" xfId="0" applyFont="1"/>
    <xf numFmtId="0" fontId="9" fillId="0" borderId="10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5" borderId="10" xfId="0" applyFill="1" applyBorder="1" applyAlignment="1">
      <alignment vertical="center" wrapText="1"/>
    </xf>
    <xf numFmtId="0" fontId="0" fillId="5" borderId="20" xfId="0" applyFill="1" applyBorder="1" applyAlignment="1">
      <alignment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5" borderId="24" xfId="0" applyFill="1" applyBorder="1" applyAlignment="1">
      <alignment vertical="center" wrapText="1"/>
    </xf>
    <xf numFmtId="0" fontId="0" fillId="0" borderId="25" xfId="0" applyBorder="1"/>
    <xf numFmtId="3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1" fontId="5" fillId="0" borderId="0" xfId="0" applyNumberFormat="1" applyFont="1"/>
    <xf numFmtId="3" fontId="9" fillId="0" borderId="0" xfId="0" applyNumberFormat="1" applyFont="1"/>
    <xf numFmtId="3" fontId="17" fillId="0" borderId="0" xfId="0" applyNumberFormat="1" applyFont="1"/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9" fillId="0" borderId="0" xfId="0" applyFont="1" applyFill="1"/>
    <xf numFmtId="9" fontId="0" fillId="7" borderId="0" xfId="0" applyNumberFormat="1" applyFill="1"/>
    <xf numFmtId="0" fontId="0" fillId="7" borderId="0" xfId="0" applyFill="1"/>
    <xf numFmtId="3" fontId="9" fillId="7" borderId="0" xfId="0" applyNumberFormat="1" applyFont="1" applyFill="1"/>
    <xf numFmtId="164" fontId="14" fillId="7" borderId="0" xfId="0" applyNumberFormat="1" applyFont="1" applyFill="1"/>
    <xf numFmtId="3" fontId="14" fillId="7" borderId="0" xfId="0" applyNumberFormat="1" applyFont="1" applyFill="1"/>
    <xf numFmtId="9" fontId="0" fillId="7" borderId="0" xfId="1" applyFont="1" applyFill="1"/>
    <xf numFmtId="0" fontId="20" fillId="0" borderId="0" xfId="0" quotePrefix="1" applyFont="1"/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6" fontId="0" fillId="3" borderId="11" xfId="0" applyNumberFormat="1" applyFill="1" applyBorder="1"/>
    <xf numFmtId="9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21" fillId="0" borderId="0" xfId="0" applyFont="1" applyFill="1"/>
    <xf numFmtId="0" fontId="0" fillId="4" borderId="0" xfId="0" applyFill="1" applyAlignment="1">
      <alignment horizontal="left" vertical="center" wrapText="1"/>
    </xf>
    <xf numFmtId="9" fontId="9" fillId="7" borderId="0" xfId="1" applyFont="1" applyFill="1"/>
    <xf numFmtId="0" fontId="9" fillId="0" borderId="0" xfId="0" applyFont="1" applyAlignment="1">
      <alignment wrapText="1"/>
    </xf>
    <xf numFmtId="0" fontId="0" fillId="0" borderId="0" xfId="0" applyBorder="1"/>
    <xf numFmtId="0" fontId="0" fillId="0" borderId="26" xfId="0" applyBorder="1"/>
    <xf numFmtId="0" fontId="0" fillId="0" borderId="0" xfId="0" quotePrefix="1" applyAlignment="1">
      <alignment horizontal="right"/>
    </xf>
    <xf numFmtId="0" fontId="4" fillId="0" borderId="0" xfId="0" applyFont="1" applyFill="1"/>
    <xf numFmtId="0" fontId="9" fillId="7" borderId="0" xfId="0" applyFont="1" applyFill="1"/>
    <xf numFmtId="0" fontId="0" fillId="6" borderId="0" xfId="0" applyFill="1"/>
    <xf numFmtId="0" fontId="0" fillId="0" borderId="29" xfId="0" applyBorder="1"/>
    <xf numFmtId="0" fontId="0" fillId="8" borderId="0" xfId="0" applyFill="1"/>
    <xf numFmtId="0" fontId="5" fillId="8" borderId="0" xfId="0" applyFont="1" applyFill="1"/>
    <xf numFmtId="166" fontId="5" fillId="8" borderId="0" xfId="0" applyNumberFormat="1" applyFont="1" applyFill="1"/>
    <xf numFmtId="166" fontId="9" fillId="7" borderId="0" xfId="0" applyNumberFormat="1" applyFont="1" applyFill="1"/>
    <xf numFmtId="0" fontId="4" fillId="0" borderId="0" xfId="0" applyFont="1" applyAlignment="1"/>
    <xf numFmtId="0" fontId="1" fillId="0" borderId="0" xfId="0" applyFont="1" applyAlignment="1">
      <alignment wrapText="1"/>
    </xf>
    <xf numFmtId="3" fontId="1" fillId="0" borderId="0" xfId="0" applyNumberFormat="1" applyFont="1"/>
    <xf numFmtId="0" fontId="13" fillId="0" borderId="0" xfId="0" quotePrefix="1" applyFont="1"/>
    <xf numFmtId="0" fontId="4" fillId="0" borderId="0" xfId="0" quotePrefix="1" applyFont="1" applyFill="1"/>
    <xf numFmtId="0" fontId="5" fillId="4" borderId="0" xfId="0" applyFont="1" applyFill="1"/>
    <xf numFmtId="0" fontId="19" fillId="0" borderId="0" xfId="0" applyFont="1"/>
    <xf numFmtId="3" fontId="0" fillId="0" borderId="1" xfId="0" applyNumberFormat="1" applyBorder="1"/>
    <xf numFmtId="0" fontId="0" fillId="0" borderId="1" xfId="0" applyFill="1" applyBorder="1"/>
    <xf numFmtId="1" fontId="0" fillId="0" borderId="1" xfId="0" applyNumberFormat="1" applyBorder="1"/>
    <xf numFmtId="166" fontId="0" fillId="0" borderId="1" xfId="0" applyNumberFormat="1" applyBorder="1"/>
    <xf numFmtId="9" fontId="9" fillId="7" borderId="0" xfId="0" applyNumberFormat="1" applyFont="1" applyFill="1"/>
    <xf numFmtId="9" fontId="0" fillId="0" borderId="0" xfId="1" applyFont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0" borderId="1" xfId="0" applyFill="1" applyBorder="1" applyAlignment="1">
      <alignment wrapText="1"/>
    </xf>
    <xf numFmtId="0" fontId="1" fillId="2" borderId="0" xfId="0" applyFont="1" applyFill="1"/>
    <xf numFmtId="3" fontId="0" fillId="2" borderId="0" xfId="0" applyNumberFormat="1" applyFill="1"/>
    <xf numFmtId="4" fontId="0" fillId="0" borderId="1" xfId="0" applyNumberFormat="1" applyBorder="1"/>
    <xf numFmtId="9" fontId="0" fillId="4" borderId="0" xfId="0" applyNumberFormat="1" applyFill="1"/>
    <xf numFmtId="165" fontId="0" fillId="3" borderId="11" xfId="0" applyNumberFormat="1" applyFill="1" applyBorder="1"/>
    <xf numFmtId="0" fontId="2" fillId="0" borderId="0" xfId="0" quotePrefix="1" applyFont="1"/>
    <xf numFmtId="165" fontId="0" fillId="0" borderId="0" xfId="0" applyNumberFormat="1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6" xfId="0" quotePrefix="1" applyFill="1" applyBorder="1"/>
    <xf numFmtId="0" fontId="0" fillId="4" borderId="1" xfId="0" applyFill="1" applyBorder="1" applyAlignment="1">
      <alignment horizontal="right"/>
    </xf>
    <xf numFmtId="0" fontId="0" fillId="4" borderId="28" xfId="0" applyFill="1" applyBorder="1"/>
    <xf numFmtId="0" fontId="4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0" fillId="0" borderId="0" xfId="0" applyFill="1" applyBorder="1"/>
    <xf numFmtId="0" fontId="0" fillId="0" borderId="30" xfId="0" applyBorder="1" applyAlignment="1"/>
    <xf numFmtId="0" fontId="2" fillId="0" borderId="0" xfId="0" applyFont="1" applyBorder="1" applyAlignment="1">
      <alignment horizontal="left"/>
    </xf>
    <xf numFmtId="2" fontId="0" fillId="0" borderId="10" xfId="0" applyNumberFormat="1" applyBorder="1" applyAlignment="1">
      <alignment horizontal="center"/>
    </xf>
    <xf numFmtId="166" fontId="5" fillId="0" borderId="0" xfId="0" applyNumberFormat="1" applyFont="1" applyFill="1"/>
    <xf numFmtId="0" fontId="15" fillId="7" borderId="0" xfId="0" quotePrefix="1" applyFont="1" applyFill="1"/>
    <xf numFmtId="0" fontId="15" fillId="0" borderId="0" xfId="0" applyFont="1" applyFill="1"/>
    <xf numFmtId="2" fontId="0" fillId="7" borderId="0" xfId="0" applyNumberFormat="1" applyFill="1"/>
    <xf numFmtId="4" fontId="0" fillId="7" borderId="0" xfId="0" applyNumberFormat="1" applyFill="1"/>
    <xf numFmtId="2" fontId="5" fillId="8" borderId="0" xfId="0" applyNumberFormat="1" applyFont="1" applyFill="1"/>
    <xf numFmtId="0" fontId="15" fillId="7" borderId="0" xfId="0" applyFont="1" applyFill="1"/>
    <xf numFmtId="0" fontId="15" fillId="0" borderId="0" xfId="0" quotePrefix="1" applyFont="1" applyFill="1"/>
    <xf numFmtId="2" fontId="9" fillId="0" borderId="0" xfId="0" applyNumberFormat="1" applyFont="1" applyFill="1"/>
    <xf numFmtId="4" fontId="0" fillId="0" borderId="0" xfId="0" applyNumberFormat="1" applyFill="1"/>
    <xf numFmtId="2" fontId="0" fillId="0" borderId="0" xfId="0" applyNumberFormat="1" applyFill="1"/>
    <xf numFmtId="2" fontId="5" fillId="0" borderId="0" xfId="0" applyNumberFormat="1" applyFont="1" applyFill="1"/>
    <xf numFmtId="0" fontId="16" fillId="0" borderId="0" xfId="0" applyFont="1" applyFill="1"/>
    <xf numFmtId="2" fontId="15" fillId="4" borderId="0" xfId="0" applyNumberFormat="1" applyFont="1" applyFill="1"/>
    <xf numFmtId="0" fontId="15" fillId="4" borderId="0" xfId="0" applyFont="1" applyFill="1"/>
    <xf numFmtId="3" fontId="0" fillId="7" borderId="0" xfId="0" applyNumberFormat="1" applyFill="1"/>
    <xf numFmtId="1" fontId="5" fillId="8" borderId="0" xfId="0" applyNumberFormat="1" applyFont="1" applyFill="1"/>
    <xf numFmtId="1" fontId="5" fillId="0" borderId="0" xfId="0" applyNumberFormat="1" applyFont="1" applyFill="1"/>
    <xf numFmtId="1" fontId="0" fillId="7" borderId="0" xfId="0" applyNumberFormat="1" applyFill="1"/>
    <xf numFmtId="0" fontId="24" fillId="0" borderId="0" xfId="0" applyFont="1"/>
    <xf numFmtId="0" fontId="9" fillId="0" borderId="0" xfId="0" quotePrefix="1" applyFont="1"/>
    <xf numFmtId="2" fontId="0" fillId="0" borderId="0" xfId="0" applyNumberFormat="1"/>
    <xf numFmtId="0" fontId="0" fillId="0" borderId="1" xfId="0" applyFont="1" applyBorder="1"/>
    <xf numFmtId="4" fontId="0" fillId="0" borderId="0" xfId="0" applyNumberFormat="1" applyBorder="1"/>
    <xf numFmtId="0" fontId="0" fillId="0" borderId="31" xfId="0" applyBorder="1"/>
    <xf numFmtId="4" fontId="0" fillId="0" borderId="31" xfId="0" applyNumberFormat="1" applyBorder="1"/>
    <xf numFmtId="2" fontId="0" fillId="0" borderId="1" xfId="0" applyNumberFormat="1" applyBorder="1"/>
    <xf numFmtId="0" fontId="0" fillId="0" borderId="0" xfId="0" applyBorder="1" applyAlignment="1">
      <alignment horizontal="center" vertical="center" wrapText="1"/>
    </xf>
    <xf numFmtId="0" fontId="17" fillId="0" borderId="0" xfId="0" applyFont="1" applyFill="1" applyBorder="1"/>
    <xf numFmtId="4" fontId="17" fillId="0" borderId="0" xfId="0" applyNumberFormat="1" applyFont="1" applyBorder="1"/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quotePrefix="1" applyFont="1"/>
    <xf numFmtId="3" fontId="0" fillId="0" borderId="0" xfId="0" applyNumberFormat="1" applyFont="1"/>
    <xf numFmtId="0" fontId="0" fillId="9" borderId="0" xfId="0" applyFill="1"/>
    <xf numFmtId="0" fontId="1" fillId="0" borderId="0" xfId="0" applyFont="1" applyAlignment="1">
      <alignment horizontal="left"/>
    </xf>
    <xf numFmtId="0" fontId="1" fillId="0" borderId="0" xfId="0" applyFont="1" applyFill="1"/>
    <xf numFmtId="0" fontId="0" fillId="10" borderId="0" xfId="0" applyFill="1"/>
    <xf numFmtId="0" fontId="25" fillId="0" borderId="0" xfId="0" applyFont="1" applyBorder="1"/>
    <xf numFmtId="0" fontId="0" fillId="8" borderId="0" xfId="0" quotePrefix="1" applyFill="1"/>
    <xf numFmtId="3" fontId="0" fillId="8" borderId="0" xfId="0" applyNumberFormat="1" applyFill="1"/>
    <xf numFmtId="0" fontId="0" fillId="0" borderId="33" xfId="0" applyBorder="1"/>
    <xf numFmtId="4" fontId="0" fillId="0" borderId="33" xfId="0" applyNumberFormat="1" applyBorder="1"/>
    <xf numFmtId="0" fontId="9" fillId="0" borderId="1" xfId="0" applyFont="1" applyBorder="1"/>
    <xf numFmtId="0" fontId="0" fillId="10" borderId="0" xfId="0" quotePrefix="1" applyFill="1"/>
    <xf numFmtId="0" fontId="0" fillId="6" borderId="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2" fillId="0" borderId="30" xfId="0" applyFont="1" applyFill="1" applyBorder="1"/>
    <xf numFmtId="0" fontId="0" fillId="0" borderId="0" xfId="0" applyAlignment="1">
      <alignment horizontal="center"/>
    </xf>
    <xf numFmtId="0" fontId="0" fillId="4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0908258771515"/>
          <c:y val="4.821941231287457E-2"/>
          <c:w val="0.48434849710135808"/>
          <c:h val="0.90356117537425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Lyhyt_av_neutraali!$B$117</c:f>
              <c:strCache>
                <c:ptCount val="1"/>
                <c:pt idx="0">
                  <c:v>Onnettomuuskustannukset, milj. € / vuosi</c:v>
                </c:pt>
              </c:strCache>
            </c:strRef>
          </c:tx>
          <c:invertIfNegative val="0"/>
          <c:cat>
            <c:numRef>
              <c:f>Lyhyt_av_neutraali!$C$116:$H$116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Lyhyt_av_neutraali!$C$117:$H$117</c:f>
              <c:numCache>
                <c:formatCode>#,##0.00</c:formatCode>
                <c:ptCount val="6"/>
                <c:pt idx="0">
                  <c:v>2.1463573037580001E-2</c:v>
                </c:pt>
                <c:pt idx="1">
                  <c:v>0.26642874715799403</c:v>
                </c:pt>
                <c:pt idx="2">
                  <c:v>0.13882708540799935</c:v>
                </c:pt>
                <c:pt idx="3">
                  <c:v>-5.839062176591999</c:v>
                </c:pt>
                <c:pt idx="4">
                  <c:v>-56.413247202395993</c:v>
                </c:pt>
                <c:pt idx="5">
                  <c:v>-99.26031137393278</c:v>
                </c:pt>
              </c:numCache>
            </c:numRef>
          </c:val>
        </c:ser>
        <c:ser>
          <c:idx val="1"/>
          <c:order val="1"/>
          <c:tx>
            <c:strRef>
              <c:f>Lyhyt_av_neutraali!$B$118</c:f>
              <c:strCache>
                <c:ptCount val="1"/>
                <c:pt idx="0">
                  <c:v>Ympäristökustannukset, milj. € / vuosi</c:v>
                </c:pt>
              </c:strCache>
            </c:strRef>
          </c:tx>
          <c:invertIfNegative val="0"/>
          <c:cat>
            <c:numRef>
              <c:f>Lyhyt_av_neutraali!$C$116:$H$116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Lyhyt_av_neutraali!$C$118:$H$118</c:f>
              <c:numCache>
                <c:formatCode>#,##0.00</c:formatCode>
                <c:ptCount val="6"/>
                <c:pt idx="0">
                  <c:v>1.3182997975804691E-2</c:v>
                </c:pt>
                <c:pt idx="1">
                  <c:v>0.17553771173151902</c:v>
                </c:pt>
                <c:pt idx="2">
                  <c:v>2.4462477959400006</c:v>
                </c:pt>
                <c:pt idx="3">
                  <c:v>4.8015990696329993</c:v>
                </c:pt>
                <c:pt idx="4">
                  <c:v>7.2031187759850006</c:v>
                </c:pt>
                <c:pt idx="5">
                  <c:v>9.3400090800720044</c:v>
                </c:pt>
              </c:numCache>
            </c:numRef>
          </c:val>
        </c:ser>
        <c:ser>
          <c:idx val="2"/>
          <c:order val="2"/>
          <c:tx>
            <c:strRef>
              <c:f>Lyhyt_av_neutraali!$B$119</c:f>
              <c:strCache>
                <c:ptCount val="1"/>
                <c:pt idx="0">
                  <c:v>Päällysteiden kulumisen kustannukset, milj. € / vuosi</c:v>
                </c:pt>
              </c:strCache>
            </c:strRef>
          </c:tx>
          <c:invertIfNegative val="0"/>
          <c:cat>
            <c:numRef>
              <c:f>Lyhyt_av_neutraali!$C$116:$H$116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Lyhyt_av_neutraali!$C$119:$H$119</c:f>
              <c:numCache>
                <c:formatCode>#,##0.00</c:formatCode>
                <c:ptCount val="6"/>
                <c:pt idx="0">
                  <c:v>1.4218917187499998E-3</c:v>
                </c:pt>
                <c:pt idx="1">
                  <c:v>1.8390331732499998E-2</c:v>
                </c:pt>
                <c:pt idx="2">
                  <c:v>0.18763919999999998</c:v>
                </c:pt>
                <c:pt idx="3">
                  <c:v>0.24862193999999999</c:v>
                </c:pt>
                <c:pt idx="4">
                  <c:v>-0.59695019999999999</c:v>
                </c:pt>
                <c:pt idx="5">
                  <c:v>-1.3166630399999999</c:v>
                </c:pt>
              </c:numCache>
            </c:numRef>
          </c:val>
        </c:ser>
        <c:ser>
          <c:idx val="3"/>
          <c:order val="3"/>
          <c:tx>
            <c:strRef>
              <c:f>Lyhyt_av_neutraali!$B$120</c:f>
              <c:strCache>
                <c:ptCount val="1"/>
                <c:pt idx="0">
                  <c:v>Pysäköintipaikkojen rakentamis-kustannukset, milj. € / vuosi</c:v>
                </c:pt>
              </c:strCache>
            </c:strRef>
          </c:tx>
          <c:invertIfNegative val="0"/>
          <c:cat>
            <c:numRef>
              <c:f>Lyhyt_av_neutraali!$C$116:$H$116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Lyhyt_av_neutraali!$C$120:$H$120</c:f>
              <c:numCache>
                <c:formatCode>#,##0.00</c:formatCode>
                <c:ptCount val="6"/>
                <c:pt idx="0">
                  <c:v>-7.1999999999999995E-2</c:v>
                </c:pt>
                <c:pt idx="1">
                  <c:v>-0.48</c:v>
                </c:pt>
                <c:pt idx="2">
                  <c:v>-7.2</c:v>
                </c:pt>
                <c:pt idx="3">
                  <c:v>-14.4</c:v>
                </c:pt>
                <c:pt idx="4">
                  <c:v>-54</c:v>
                </c:pt>
                <c:pt idx="5">
                  <c:v>-86.4</c:v>
                </c:pt>
              </c:numCache>
            </c:numRef>
          </c:val>
        </c:ser>
        <c:ser>
          <c:idx val="5"/>
          <c:order val="4"/>
          <c:tx>
            <c:strRef>
              <c:f>Lyhyt_av_neutraali!$B$121</c:f>
              <c:strCache>
                <c:ptCount val="1"/>
                <c:pt idx="0">
                  <c:v>Pysäköintipaikkojen tilankäyttö, milj. € / vuosi</c:v>
                </c:pt>
              </c:strCache>
            </c:strRef>
          </c:tx>
          <c:invertIfNegative val="0"/>
          <c:val>
            <c:numRef>
              <c:f>Lyhyt_av_neutraali!$C$121:$H$121</c:f>
              <c:numCache>
                <c:formatCode>#,##0.00</c:formatCode>
                <c:ptCount val="6"/>
                <c:pt idx="0">
                  <c:v>-2.8799999999999999E-2</c:v>
                </c:pt>
                <c:pt idx="1">
                  <c:v>-0.192</c:v>
                </c:pt>
                <c:pt idx="2">
                  <c:v>-2.88</c:v>
                </c:pt>
                <c:pt idx="3">
                  <c:v>-5.76</c:v>
                </c:pt>
                <c:pt idx="4">
                  <c:v>-21.6</c:v>
                </c:pt>
                <c:pt idx="5">
                  <c:v>-34.56</c:v>
                </c:pt>
              </c:numCache>
            </c:numRef>
          </c:val>
        </c:ser>
        <c:ser>
          <c:idx val="4"/>
          <c:order val="5"/>
          <c:tx>
            <c:strRef>
              <c:f>Lyhyt_av_neutraali!$B$122</c:f>
              <c:strCache>
                <c:ptCount val="1"/>
                <c:pt idx="0">
                  <c:v>Tehottoman ajankäytön väheneminen, milj. € / vuosi</c:v>
                </c:pt>
              </c:strCache>
            </c:strRef>
          </c:tx>
          <c:invertIfNegative val="0"/>
          <c:cat>
            <c:numRef>
              <c:f>Lyhyt_av_neutraali!$C$116:$H$116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Lyhyt_av_neutraali!$C$122:$H$122</c:f>
              <c:numCache>
                <c:formatCode>#,##0.00</c:formatCode>
                <c:ptCount val="6"/>
                <c:pt idx="0">
                  <c:v>-4.5738335173748701E-2</c:v>
                </c:pt>
                <c:pt idx="1">
                  <c:v>-0.69650657773357671</c:v>
                </c:pt>
                <c:pt idx="2">
                  <c:v>-19.971514773722625</c:v>
                </c:pt>
                <c:pt idx="3">
                  <c:v>-52.924514150364963</c:v>
                </c:pt>
                <c:pt idx="4">
                  <c:v>-240.0280201508516</c:v>
                </c:pt>
                <c:pt idx="5">
                  <c:v>-397.06330113090024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29504"/>
        <c:axId val="38231040"/>
      </c:barChart>
      <c:catAx>
        <c:axId val="382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231040"/>
        <c:crosses val="autoZero"/>
        <c:auto val="1"/>
        <c:lblAlgn val="ctr"/>
        <c:lblOffset val="100"/>
        <c:noMultiLvlLbl val="0"/>
      </c:catAx>
      <c:valAx>
        <c:axId val="38231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Miljoonaa euroa / vuosi</a:t>
                </a:r>
              </a:p>
            </c:rich>
          </c:tx>
          <c:layout>
            <c:manualLayout>
              <c:xMode val="edge"/>
              <c:yMode val="edge"/>
              <c:x val="1.2152734620925192E-2"/>
              <c:y val="0.271020715244470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822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241203508852338"/>
          <c:y val="4.6156266297331723E-2"/>
          <c:w val="0.36776119414108183"/>
          <c:h val="0.894657809467627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 baseline="0"/>
              <a:t>Vaihteluväli, pitkän aikavälin säästöpotentiaali (sis. ShL ja Vpl)</a:t>
            </a:r>
            <a:endParaRPr lang="fi-FI" sz="1200"/>
          </a:p>
        </c:rich>
      </c:tx>
      <c:layout>
        <c:manualLayout>
          <c:xMode val="edge"/>
          <c:yMode val="edge"/>
          <c:x val="2.0696147158820344E-2"/>
          <c:y val="8.7719298245614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98687664041995"/>
          <c:y val="0.36711251554082053"/>
          <c:w val="0.47711260852008885"/>
          <c:h val="0.5841922226826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'Pitkä_aikaväli+ShL_VpL'!$B$96</c:f>
              <c:strCache>
                <c:ptCount val="1"/>
                <c:pt idx="0">
                  <c:v>Pessimistinen arvio</c:v>
                </c:pt>
              </c:strCache>
            </c:strRef>
          </c:tx>
          <c:invertIfNegative val="0"/>
          <c:cat>
            <c:numRef>
              <c:f>'Pitkä_aikaväli+ShL_VpL'!$C$95:$H$95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'Pitkä_aikaväli+ShL_VpL'!$C$96:$H$96</c:f>
              <c:numCache>
                <c:formatCode>0.00</c:formatCode>
                <c:ptCount val="6"/>
                <c:pt idx="0">
                  <c:v>-9.0714764685911456E-2</c:v>
                </c:pt>
                <c:pt idx="1">
                  <c:v>-2.263464619884374</c:v>
                </c:pt>
                <c:pt idx="2">
                  <c:v>-18.885477632548639</c:v>
                </c:pt>
                <c:pt idx="3">
                  <c:v>-57.394055227273405</c:v>
                </c:pt>
                <c:pt idx="4">
                  <c:v>-255.04975295772576</c:v>
                </c:pt>
                <c:pt idx="5">
                  <c:v>-418.56877000570017</c:v>
                </c:pt>
              </c:numCache>
            </c:numRef>
          </c:val>
        </c:ser>
        <c:ser>
          <c:idx val="1"/>
          <c:order val="1"/>
          <c:tx>
            <c:strRef>
              <c:f>'Pitkä_aikaväli+ShL_VpL'!$B$97</c:f>
              <c:strCache>
                <c:ptCount val="1"/>
                <c:pt idx="0">
                  <c:v>Neutraali arvio</c:v>
                </c:pt>
              </c:strCache>
            </c:strRef>
          </c:tx>
          <c:invertIfNegative val="0"/>
          <c:cat>
            <c:numRef>
              <c:f>'Pitkä_aikaväli+ShL_VpL'!$C$95:$H$95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'Pitkä_aikaväli+ShL_VpL'!$C$97:$H$97</c:f>
              <c:numCache>
                <c:formatCode>0.00</c:formatCode>
                <c:ptCount val="6"/>
                <c:pt idx="0">
                  <c:v>-1.975510775570255E-2</c:v>
                </c:pt>
                <c:pt idx="1">
                  <c:v>-8.5452849672271896</c:v>
                </c:pt>
                <c:pt idx="2">
                  <c:v>-33.144822559825982</c:v>
                </c:pt>
                <c:pt idx="3">
                  <c:v>-79.055083681035143</c:v>
                </c:pt>
                <c:pt idx="4">
                  <c:v>-197.84895446111838</c:v>
                </c:pt>
                <c:pt idx="5">
                  <c:v>-295.5270575747009</c:v>
                </c:pt>
              </c:numCache>
            </c:numRef>
          </c:val>
        </c:ser>
        <c:ser>
          <c:idx val="2"/>
          <c:order val="2"/>
          <c:tx>
            <c:strRef>
              <c:f>'Pitkä_aikaväli+ShL_VpL'!$B$98</c:f>
              <c:strCache>
                <c:ptCount val="1"/>
                <c:pt idx="0">
                  <c:v>Optimistinen arvio</c:v>
                </c:pt>
              </c:strCache>
            </c:strRef>
          </c:tx>
          <c:invertIfNegative val="0"/>
          <c:cat>
            <c:numRef>
              <c:f>'Pitkä_aikaväli+ShL_VpL'!$C$95:$H$95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'Pitkä_aikaväli+ShL_VpL'!$C$98:$H$98</c:f>
              <c:numCache>
                <c:formatCode>0.00</c:formatCode>
                <c:ptCount val="6"/>
                <c:pt idx="0">
                  <c:v>-2.725034913640513E-2</c:v>
                </c:pt>
                <c:pt idx="1">
                  <c:v>-15.26586992895438</c:v>
                </c:pt>
                <c:pt idx="2">
                  <c:v>-43.047180816881763</c:v>
                </c:pt>
                <c:pt idx="3">
                  <c:v>-57.803546342028767</c:v>
                </c:pt>
                <c:pt idx="4">
                  <c:v>-215.76773593772003</c:v>
                </c:pt>
                <c:pt idx="5">
                  <c:v>-397.76439071971629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87584"/>
        <c:axId val="39189504"/>
      </c:barChart>
      <c:catAx>
        <c:axId val="3918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Kutsuplus-ajoneuvojen määrä</a:t>
                </a:r>
              </a:p>
            </c:rich>
          </c:tx>
          <c:layout>
            <c:manualLayout>
              <c:xMode val="edge"/>
              <c:yMode val="edge"/>
              <c:x val="0.23467292549969715"/>
              <c:y val="0.21839895013123359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crossAx val="39189504"/>
        <c:crosses val="autoZero"/>
        <c:auto val="1"/>
        <c:lblAlgn val="ctr"/>
        <c:lblOffset val="100"/>
        <c:noMultiLvlLbl val="0"/>
      </c:catAx>
      <c:valAx>
        <c:axId val="39189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Miljoonaa euroa / vuosi</a:t>
                </a:r>
              </a:p>
            </c:rich>
          </c:tx>
          <c:layout>
            <c:manualLayout>
              <c:xMode val="edge"/>
              <c:yMode val="edge"/>
              <c:x val="2.7777716596614238E-2"/>
              <c:y val="0.3564801768200027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187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152029073288916"/>
          <c:y val="0.27257217847769027"/>
          <c:w val="0.22021694840592479"/>
          <c:h val="0.528442119077220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Pitkän aikavälin säästöpotentiaali (neutraali skenaario)</a:t>
            </a:r>
          </a:p>
        </c:rich>
      </c:tx>
      <c:layout>
        <c:manualLayout>
          <c:xMode val="edge"/>
          <c:yMode val="edge"/>
          <c:x val="0.11524131692715121"/>
          <c:y val="2.17155266015200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97960777257754"/>
          <c:y val="0.23197663116267431"/>
          <c:w val="0.42696709368940194"/>
          <c:h val="0.71980379542225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'Pitkä_aikaväli+ShL_VpL'!$L$70</c:f>
              <c:strCache>
                <c:ptCount val="1"/>
                <c:pt idx="0">
                  <c:v>Onnettomuuskustannukset, milj. € / vuosi</c:v>
                </c:pt>
              </c:strCache>
            </c:strRef>
          </c:tx>
          <c:invertIfNegative val="0"/>
          <c:cat>
            <c:numRef>
              <c:f>'Pitkä_aikaväli+ShL_VpL'!$M$69:$R$69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'Pitkä_aikaväli+ShL_VpL'!$M$70:$R$70</c:f>
              <c:numCache>
                <c:formatCode>#,##0.00</c:formatCode>
                <c:ptCount val="6"/>
                <c:pt idx="0">
                  <c:v>-2.1463573037580001E-2</c:v>
                </c:pt>
                <c:pt idx="1">
                  <c:v>-0.26642874715799403</c:v>
                </c:pt>
                <c:pt idx="2">
                  <c:v>-0.13882708540799935</c:v>
                </c:pt>
                <c:pt idx="3">
                  <c:v>5.839062176591999</c:v>
                </c:pt>
                <c:pt idx="4">
                  <c:v>56.413247202395993</c:v>
                </c:pt>
                <c:pt idx="5">
                  <c:v>99.26031137393278</c:v>
                </c:pt>
              </c:numCache>
            </c:numRef>
          </c:val>
        </c:ser>
        <c:ser>
          <c:idx val="3"/>
          <c:order val="1"/>
          <c:tx>
            <c:strRef>
              <c:f>'Pitkä_aikaväli+ShL_VpL'!$L$71</c:f>
              <c:strCache>
                <c:ptCount val="1"/>
                <c:pt idx="0">
                  <c:v>Ympäristökustannukset, milj. € / vuosi</c:v>
                </c:pt>
              </c:strCache>
            </c:strRef>
          </c:tx>
          <c:invertIfNegative val="0"/>
          <c:cat>
            <c:numRef>
              <c:f>'Pitkä_aikaväli+ShL_VpL'!$M$69:$R$69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'Pitkä_aikaväli+ShL_VpL'!$M$71:$R$71</c:f>
              <c:numCache>
                <c:formatCode>#,##0.00</c:formatCode>
                <c:ptCount val="6"/>
                <c:pt idx="0">
                  <c:v>-1.3182997975804691E-2</c:v>
                </c:pt>
                <c:pt idx="1">
                  <c:v>-0.17553771173151902</c:v>
                </c:pt>
                <c:pt idx="2">
                  <c:v>-2.4462477959400006</c:v>
                </c:pt>
                <c:pt idx="3">
                  <c:v>-4.8015990696329993</c:v>
                </c:pt>
                <c:pt idx="4">
                  <c:v>-7.2031187759850006</c:v>
                </c:pt>
                <c:pt idx="5">
                  <c:v>-9.3400090800720044</c:v>
                </c:pt>
              </c:numCache>
            </c:numRef>
          </c:val>
        </c:ser>
        <c:ser>
          <c:idx val="2"/>
          <c:order val="2"/>
          <c:tx>
            <c:strRef>
              <c:f>'Pitkä_aikaväli+ShL_VpL'!$L$72</c:f>
              <c:strCache>
                <c:ptCount val="1"/>
                <c:pt idx="0">
                  <c:v>Päällysteiden kulumisen kustannukset, milj. € / vuosi</c:v>
                </c:pt>
              </c:strCache>
            </c:strRef>
          </c:tx>
          <c:invertIfNegative val="0"/>
          <c:cat>
            <c:numRef>
              <c:f>'Pitkä_aikaväli+ShL_VpL'!$M$69:$R$69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'Pitkä_aikaväli+ShL_VpL'!$M$72:$R$72</c:f>
              <c:numCache>
                <c:formatCode>#,##0.00</c:formatCode>
                <c:ptCount val="6"/>
                <c:pt idx="0">
                  <c:v>-1.4218917187499998E-3</c:v>
                </c:pt>
                <c:pt idx="1">
                  <c:v>-1.8390331732499998E-2</c:v>
                </c:pt>
                <c:pt idx="2">
                  <c:v>-0.18763919999999998</c:v>
                </c:pt>
                <c:pt idx="3">
                  <c:v>-0.24862193999999999</c:v>
                </c:pt>
                <c:pt idx="4">
                  <c:v>0.59695019999999999</c:v>
                </c:pt>
                <c:pt idx="5">
                  <c:v>1.3166630399999999</c:v>
                </c:pt>
              </c:numCache>
            </c:numRef>
          </c:val>
        </c:ser>
        <c:ser>
          <c:idx val="1"/>
          <c:order val="3"/>
          <c:tx>
            <c:strRef>
              <c:f>'Pitkä_aikaväli+ShL_VpL'!$L$73</c:f>
              <c:strCache>
                <c:ptCount val="1"/>
                <c:pt idx="0">
                  <c:v>Pysäköintipaikkojen rakentamis-kustannukset, milj. € / vuosi</c:v>
                </c:pt>
              </c:strCache>
            </c:strRef>
          </c:tx>
          <c:invertIfNegative val="0"/>
          <c:cat>
            <c:numRef>
              <c:f>'Pitkä_aikaväli+ShL_VpL'!$M$69:$R$69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'Pitkä_aikaväli+ShL_VpL'!$M$73:$R$73</c:f>
              <c:numCache>
                <c:formatCode>#,##0.00</c:formatCode>
                <c:ptCount val="6"/>
                <c:pt idx="0">
                  <c:v>7.1999999999999995E-2</c:v>
                </c:pt>
                <c:pt idx="1">
                  <c:v>0.48</c:v>
                </c:pt>
                <c:pt idx="2">
                  <c:v>7.2</c:v>
                </c:pt>
                <c:pt idx="3">
                  <c:v>14.4</c:v>
                </c:pt>
                <c:pt idx="4">
                  <c:v>54</c:v>
                </c:pt>
                <c:pt idx="5">
                  <c:v>86.4</c:v>
                </c:pt>
              </c:numCache>
            </c:numRef>
          </c:val>
        </c:ser>
        <c:ser>
          <c:idx val="4"/>
          <c:order val="4"/>
          <c:tx>
            <c:strRef>
              <c:f>'Pitkä_aikaväli+ShL_VpL'!$L$74</c:f>
              <c:strCache>
                <c:ptCount val="1"/>
                <c:pt idx="0">
                  <c:v>Pysäköintipaikkojen tilankäyttö, milj. € / vuosi</c:v>
                </c:pt>
              </c:strCache>
            </c:strRef>
          </c:tx>
          <c:invertIfNegative val="0"/>
          <c:cat>
            <c:numRef>
              <c:f>'Pitkä_aikaväli+ShL_VpL'!$M$69:$R$69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'Pitkä_aikaväli+ShL_VpL'!$M$74:$R$74</c:f>
              <c:numCache>
                <c:formatCode>#,##0.00</c:formatCode>
                <c:ptCount val="6"/>
                <c:pt idx="0">
                  <c:v>2.8799999999999999E-2</c:v>
                </c:pt>
                <c:pt idx="1">
                  <c:v>0.192</c:v>
                </c:pt>
                <c:pt idx="2">
                  <c:v>2.88</c:v>
                </c:pt>
                <c:pt idx="3">
                  <c:v>5.76</c:v>
                </c:pt>
                <c:pt idx="4">
                  <c:v>21.6</c:v>
                </c:pt>
                <c:pt idx="5">
                  <c:v>34.56</c:v>
                </c:pt>
              </c:numCache>
            </c:numRef>
          </c:val>
        </c:ser>
        <c:ser>
          <c:idx val="5"/>
          <c:order val="5"/>
          <c:tx>
            <c:strRef>
              <c:f>'Pitkä_aikaväli+ShL_VpL'!$L$75</c:f>
              <c:strCache>
                <c:ptCount val="1"/>
                <c:pt idx="0">
                  <c:v>Tehottoman ajankäytön väheneminen, milj. € / vuosi</c:v>
                </c:pt>
              </c:strCache>
            </c:strRef>
          </c:tx>
          <c:invertIfNegative val="0"/>
          <c:cat>
            <c:numRef>
              <c:f>'Pitkä_aikaväli+ShL_VpL'!$M$69:$R$69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'Pitkä_aikaväli+ShL_VpL'!$M$75:$R$75</c:f>
              <c:numCache>
                <c:formatCode>#,##0.00</c:formatCode>
                <c:ptCount val="6"/>
                <c:pt idx="0">
                  <c:v>4.5738335173748701E-2</c:v>
                </c:pt>
                <c:pt idx="1">
                  <c:v>0.69650657773357671</c:v>
                </c:pt>
                <c:pt idx="2">
                  <c:v>19.971514773722625</c:v>
                </c:pt>
                <c:pt idx="3">
                  <c:v>52.924514150364963</c:v>
                </c:pt>
                <c:pt idx="4">
                  <c:v>240.0280201508516</c:v>
                </c:pt>
                <c:pt idx="5">
                  <c:v>397.06330113090024</c:v>
                </c:pt>
              </c:numCache>
            </c:numRef>
          </c:val>
        </c:ser>
        <c:ser>
          <c:idx val="6"/>
          <c:order val="6"/>
          <c:tx>
            <c:strRef>
              <c:f>'Pitkä_aikaväli+ShL_VpL'!$L$76</c:f>
              <c:strCache>
                <c:ptCount val="1"/>
                <c:pt idx="0">
                  <c:v>Reuna-alueiden joukkoliikenteen säästöt, milj. € / vuosi</c:v>
                </c:pt>
              </c:strCache>
            </c:strRef>
          </c:tx>
          <c:invertIfNegative val="0"/>
          <c:cat>
            <c:numRef>
              <c:f>'Pitkä_aikaväli+ShL_VpL'!$M$69:$R$69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'Pitkä_aikaväli+ShL_VpL'!$M$76:$R$76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2.5698999755999998</c:v>
                </c:pt>
                <c:pt idx="4">
                  <c:v>4.3234681812</c:v>
                </c:pt>
                <c:pt idx="5">
                  <c:v>6.4852022718000004</c:v>
                </c:pt>
              </c:numCache>
            </c:numRef>
          </c:val>
        </c:ser>
        <c:ser>
          <c:idx val="7"/>
          <c:order val="7"/>
          <c:tx>
            <c:strRef>
              <c:f>'Pitkä_aikaväli+ShL_VpL'!$L$77</c:f>
              <c:strCache>
                <c:ptCount val="1"/>
                <c:pt idx="0">
                  <c:v>Bussiliikenteen yleisen vähentämisen säästöt, milj. € / vuosi</c:v>
                </c:pt>
              </c:strCache>
            </c:strRef>
          </c:tx>
          <c:invertIfNegative val="0"/>
          <c:cat>
            <c:numRef>
              <c:f>'Pitkä_aikaväli+ShL_VpL'!$M$69:$R$69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'Pitkä_aikaväli+ShL_VpL'!$M$77:$R$77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8.2236799219200005</c:v>
                </c:pt>
                <c:pt idx="5">
                  <c:v>16.447359843840001</c:v>
                </c:pt>
              </c:numCache>
            </c:numRef>
          </c:val>
        </c:ser>
        <c:ser>
          <c:idx val="8"/>
          <c:order val="8"/>
          <c:tx>
            <c:strRef>
              <c:f>'Pitkä_aikaväli+ShL_VpL'!$L$78</c:f>
              <c:strCache>
                <c:ptCount val="1"/>
                <c:pt idx="0">
                  <c:v>Palvelulinjojen säästöt, milj. € / vuosi</c:v>
                </c:pt>
              </c:strCache>
            </c:strRef>
          </c:tx>
          <c:invertIfNegative val="0"/>
          <c:cat>
            <c:numRef>
              <c:f>'Pitkä_aikaväli+ShL_VpL'!$M$69:$R$69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'Pitkä_aikaväli+ShL_VpL'!$M$78:$R$78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1.6875</c:v>
                </c:pt>
                <c:pt idx="4">
                  <c:v>3.375</c:v>
                </c:pt>
                <c:pt idx="5">
                  <c:v>3.75</c:v>
                </c:pt>
              </c:numCache>
            </c:numRef>
          </c:val>
        </c:ser>
        <c:ser>
          <c:idx val="9"/>
          <c:order val="9"/>
          <c:tx>
            <c:strRef>
              <c:f>'Pitkä_aikaväli+ShL_VpL'!$L$79</c:f>
              <c:strCache>
                <c:ptCount val="1"/>
                <c:pt idx="0">
                  <c:v>Tieinvestoinnit, milj. € / vuosi</c:v>
                </c:pt>
              </c:strCache>
            </c:strRef>
          </c:tx>
          <c:invertIfNegative val="0"/>
          <c:cat>
            <c:numRef>
              <c:f>'Pitkä_aikaväli+ShL_VpL'!$M$69:$R$69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'Pitkä_aikaväli+ShL_VpL'!$M$79:$R$79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8.815384615384616</c:v>
                </c:pt>
                <c:pt idx="4">
                  <c:v>22.03846153846154</c:v>
                </c:pt>
                <c:pt idx="5">
                  <c:v>28.65</c:v>
                </c:pt>
              </c:numCache>
            </c:numRef>
          </c:val>
        </c:ser>
        <c:ser>
          <c:idx val="10"/>
          <c:order val="10"/>
          <c:tx>
            <c:strRef>
              <c:f>'Pitkä_aikaväli+ShL_VpL'!$L$80</c:f>
              <c:strCache>
                <c:ptCount val="1"/>
                <c:pt idx="0">
                  <c:v>VpL- ja ShL-kuljetuksista aiheutuvat säästöt, milj. €/v</c:v>
                </c:pt>
              </c:strCache>
            </c:strRef>
          </c:tx>
          <c:invertIfNegative val="0"/>
          <c:cat>
            <c:numRef>
              <c:f>'Pitkä_aikaväli+ShL_VpL'!$M$69:$R$69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'Pitkä_aikaväli+ShL_VpL'!$M$80:$R$80</c:f>
              <c:numCache>
                <c:formatCode>0.00</c:formatCode>
                <c:ptCount val="6"/>
                <c:pt idx="0">
                  <c:v>0</c:v>
                </c:pt>
                <c:pt idx="1">
                  <c:v>9.9005998000000002</c:v>
                </c:pt>
                <c:pt idx="2">
                  <c:v>24.751499500000001</c:v>
                </c:pt>
                <c:pt idx="3">
                  <c:v>49.502999000000003</c:v>
                </c:pt>
                <c:pt idx="4">
                  <c:v>49.502999000000003</c:v>
                </c:pt>
                <c:pt idx="5">
                  <c:v>49.502999000000003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54272"/>
        <c:axId val="86456192"/>
      </c:barChart>
      <c:catAx>
        <c:axId val="8645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Kutsuplus-ajoneuvojen määrä</a:t>
                </a:r>
              </a:p>
            </c:rich>
          </c:tx>
          <c:layout>
            <c:manualLayout>
              <c:xMode val="edge"/>
              <c:yMode val="edge"/>
              <c:x val="0.17674429437347924"/>
              <c:y val="0.112685525992166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crossAx val="86456192"/>
        <c:crosses val="autoZero"/>
        <c:auto val="1"/>
        <c:lblAlgn val="ctr"/>
        <c:lblOffset val="100"/>
        <c:noMultiLvlLbl val="0"/>
      </c:catAx>
      <c:valAx>
        <c:axId val="86456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Miljoonaa euroa / vuosi</a:t>
                </a:r>
              </a:p>
            </c:rich>
          </c:tx>
          <c:layout>
            <c:manualLayout>
              <c:xMode val="edge"/>
              <c:yMode val="edge"/>
              <c:x val="1.075881114648743E-2"/>
              <c:y val="0.3135809966449486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6454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970124339593075"/>
          <c:y val="0.11056529898895685"/>
          <c:w val="0.43008333774163909"/>
          <c:h val="0.866985959150181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 baseline="0"/>
              <a:t>Vaihteluväli, pitkän aikavälin säästöpotentiaali (sis. ShL ja VpL)</a:t>
            </a:r>
            <a:endParaRPr lang="fi-FI" sz="1200"/>
          </a:p>
        </c:rich>
      </c:tx>
      <c:layout>
        <c:manualLayout>
          <c:xMode val="edge"/>
          <c:yMode val="edge"/>
          <c:x val="2.0696147158820344E-2"/>
          <c:y val="8.7719298245614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857662023016354"/>
          <c:y val="0.34079672606713635"/>
          <c:w val="0.48352286493034524"/>
          <c:h val="0.610508012156375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'Pitkä_aikaväli+ShL_VpL'!$B$96</c:f>
              <c:strCache>
                <c:ptCount val="1"/>
                <c:pt idx="0">
                  <c:v>Pessimistinen arvio</c:v>
                </c:pt>
              </c:strCache>
            </c:strRef>
          </c:tx>
          <c:invertIfNegative val="0"/>
          <c:cat>
            <c:numRef>
              <c:f>'Pitkä_aikaväli+ShL_VpL'!$M$95:$R$95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'Pitkä_aikaväli+ShL_VpL'!$M$96:$R$96</c:f>
              <c:numCache>
                <c:formatCode>0.00</c:formatCode>
                <c:ptCount val="6"/>
                <c:pt idx="0">
                  <c:v>9.0714764685911456E-2</c:v>
                </c:pt>
                <c:pt idx="1">
                  <c:v>2.263464619884374</c:v>
                </c:pt>
                <c:pt idx="2">
                  <c:v>18.885477632548639</c:v>
                </c:pt>
                <c:pt idx="3">
                  <c:v>57.394055227273405</c:v>
                </c:pt>
                <c:pt idx="4">
                  <c:v>255.04975295772576</c:v>
                </c:pt>
                <c:pt idx="5">
                  <c:v>418.56877000570017</c:v>
                </c:pt>
              </c:numCache>
            </c:numRef>
          </c:val>
        </c:ser>
        <c:ser>
          <c:idx val="1"/>
          <c:order val="1"/>
          <c:tx>
            <c:strRef>
              <c:f>'Pitkä_aikaväli+ShL_VpL'!$B$97</c:f>
              <c:strCache>
                <c:ptCount val="1"/>
                <c:pt idx="0">
                  <c:v>Neutraali arvio</c:v>
                </c:pt>
              </c:strCache>
            </c:strRef>
          </c:tx>
          <c:invertIfNegative val="0"/>
          <c:cat>
            <c:numRef>
              <c:f>'Pitkä_aikaväli+ShL_VpL'!$M$95:$R$95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'Pitkä_aikaväli+ShL_VpL'!$M$97:$R$97</c:f>
              <c:numCache>
                <c:formatCode>0.00</c:formatCode>
                <c:ptCount val="6"/>
                <c:pt idx="0">
                  <c:v>1.975510775570255E-2</c:v>
                </c:pt>
                <c:pt idx="1">
                  <c:v>8.5452849672271896</c:v>
                </c:pt>
                <c:pt idx="2">
                  <c:v>33.144822559825982</c:v>
                </c:pt>
                <c:pt idx="3">
                  <c:v>79.055083681035143</c:v>
                </c:pt>
                <c:pt idx="4">
                  <c:v>197.84895446111838</c:v>
                </c:pt>
                <c:pt idx="5">
                  <c:v>295.5270575747009</c:v>
                </c:pt>
              </c:numCache>
            </c:numRef>
          </c:val>
        </c:ser>
        <c:ser>
          <c:idx val="2"/>
          <c:order val="2"/>
          <c:tx>
            <c:strRef>
              <c:f>'Pitkä_aikaväli+ShL_VpL'!$B$98</c:f>
              <c:strCache>
                <c:ptCount val="1"/>
                <c:pt idx="0">
                  <c:v>Optimistinen arvio</c:v>
                </c:pt>
              </c:strCache>
            </c:strRef>
          </c:tx>
          <c:invertIfNegative val="0"/>
          <c:cat>
            <c:numRef>
              <c:f>'Pitkä_aikaväli+ShL_VpL'!$M$95:$R$95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'Pitkä_aikaväli+ShL_VpL'!$M$98:$R$98</c:f>
              <c:numCache>
                <c:formatCode>0.00</c:formatCode>
                <c:ptCount val="6"/>
                <c:pt idx="0">
                  <c:v>2.725034913640513E-2</c:v>
                </c:pt>
                <c:pt idx="1">
                  <c:v>15.26586992895438</c:v>
                </c:pt>
                <c:pt idx="2">
                  <c:v>43.047180816881763</c:v>
                </c:pt>
                <c:pt idx="3">
                  <c:v>57.803546342028767</c:v>
                </c:pt>
                <c:pt idx="4">
                  <c:v>215.76773593772003</c:v>
                </c:pt>
                <c:pt idx="5">
                  <c:v>397.76439071971629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393024"/>
        <c:axId val="87394944"/>
      </c:barChart>
      <c:catAx>
        <c:axId val="8739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Kutsuplus-ajoneuvojen määrä</a:t>
                </a:r>
              </a:p>
            </c:rich>
          </c:tx>
          <c:layout>
            <c:manualLayout>
              <c:xMode val="edge"/>
              <c:yMode val="edge"/>
              <c:x val="0.24206869573995557"/>
              <c:y val="0.19208316065754938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crossAx val="87394944"/>
        <c:crosses val="autoZero"/>
        <c:auto val="1"/>
        <c:lblAlgn val="ctr"/>
        <c:lblOffset val="100"/>
        <c:noMultiLvlLbl val="0"/>
      </c:catAx>
      <c:valAx>
        <c:axId val="87394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Miljoonaa euroa / vuosi</a:t>
                </a:r>
              </a:p>
            </c:rich>
          </c:tx>
          <c:layout>
            <c:manualLayout>
              <c:xMode val="edge"/>
              <c:yMode val="edge"/>
              <c:x val="2.7777716596614238E-2"/>
              <c:y val="0.3564801768200027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7393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152029073288916"/>
          <c:y val="0.27257217847769027"/>
          <c:w val="0.22021694840592479"/>
          <c:h val="0.528442119077220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Pitkällä</a:t>
            </a:r>
            <a:r>
              <a:rPr lang="fi-FI" sz="1200" baseline="0"/>
              <a:t> </a:t>
            </a:r>
            <a:r>
              <a:rPr lang="fi-FI" sz="1200"/>
              <a:t>aikavälillä esiin tulevien vaikutusten säästöpotentiaali (neutraali</a:t>
            </a:r>
            <a:r>
              <a:rPr lang="fi-FI" sz="1200" baseline="0"/>
              <a:t> skenaario)</a:t>
            </a:r>
            <a:endParaRPr lang="fi-FI" sz="1200"/>
          </a:p>
        </c:rich>
      </c:tx>
      <c:layout>
        <c:manualLayout>
          <c:xMode val="edge"/>
          <c:yMode val="edge"/>
          <c:x val="0.11524131692715121"/>
          <c:y val="2.17155266015200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97960777257754"/>
          <c:y val="0.25929056913488419"/>
          <c:w val="0.42696709368940194"/>
          <c:h val="0.69249001855224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'Pitkä_laskenta-aputaulu'!$B$120</c:f>
              <c:strCache>
                <c:ptCount val="1"/>
                <c:pt idx="0">
                  <c:v>Reuna-alueiden joukkoliikenteen säästöt, milj. € / vuosi</c:v>
                </c:pt>
              </c:strCache>
            </c:strRef>
          </c:tx>
          <c:invertIfNegative val="0"/>
          <c:cat>
            <c:numRef>
              <c:f>'Pitkä_laskenta-aputaulu'!$C$119:$H$119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'Pitkä_laskenta-aputaulu'!$C$120:$H$120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-2.5698999755999998</c:v>
                </c:pt>
                <c:pt idx="4">
                  <c:v>-4.3234681812</c:v>
                </c:pt>
                <c:pt idx="5">
                  <c:v>-6.4852022718000004</c:v>
                </c:pt>
              </c:numCache>
            </c:numRef>
          </c:val>
        </c:ser>
        <c:ser>
          <c:idx val="3"/>
          <c:order val="1"/>
          <c:tx>
            <c:strRef>
              <c:f>'Pitkä_laskenta-aputaulu'!$B$121</c:f>
              <c:strCache>
                <c:ptCount val="1"/>
                <c:pt idx="0">
                  <c:v>Bussiliikenteen yleisen vähentämisen säästöt, milj. € / vuosi</c:v>
                </c:pt>
              </c:strCache>
            </c:strRef>
          </c:tx>
          <c:invertIfNegative val="0"/>
          <c:val>
            <c:numRef>
              <c:f>'Pitkä_laskenta-aputaulu'!$C$121:$H$121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-8.2236799219200005</c:v>
                </c:pt>
                <c:pt idx="5">
                  <c:v>-16.447359843840001</c:v>
                </c:pt>
              </c:numCache>
            </c:numRef>
          </c:val>
        </c:ser>
        <c:ser>
          <c:idx val="2"/>
          <c:order val="2"/>
          <c:tx>
            <c:strRef>
              <c:f>'Pitkä_laskenta-aputaulu'!$B$122</c:f>
              <c:strCache>
                <c:ptCount val="1"/>
                <c:pt idx="0">
                  <c:v>Palvelulinjojen säästöt, milj. € / vuosi</c:v>
                </c:pt>
              </c:strCache>
            </c:strRef>
          </c:tx>
          <c:invertIfNegative val="0"/>
          <c:val>
            <c:numRef>
              <c:f>'Pitkä_laskenta-aputaulu'!$C$122:$H$122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-1.6875</c:v>
                </c:pt>
                <c:pt idx="4">
                  <c:v>-3.375</c:v>
                </c:pt>
                <c:pt idx="5">
                  <c:v>-3.75</c:v>
                </c:pt>
              </c:numCache>
            </c:numRef>
          </c:val>
        </c:ser>
        <c:ser>
          <c:idx val="1"/>
          <c:order val="3"/>
          <c:tx>
            <c:strRef>
              <c:f>'Pitkä_laskenta-aputaulu'!$B$123</c:f>
              <c:strCache>
                <c:ptCount val="1"/>
                <c:pt idx="0">
                  <c:v>Tieinvestoinnit, milj. € / vuosi</c:v>
                </c:pt>
              </c:strCache>
            </c:strRef>
          </c:tx>
          <c:invertIfNegative val="0"/>
          <c:cat>
            <c:numRef>
              <c:f>'Pitkä_laskenta-aputaulu'!$C$119:$H$119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'Pitkä_laskenta-aputaulu'!$C$123:$H$123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-8.815384615384616</c:v>
                </c:pt>
                <c:pt idx="4">
                  <c:v>-22.03846153846154</c:v>
                </c:pt>
                <c:pt idx="5">
                  <c:v>-28.65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02848"/>
        <c:axId val="87504384"/>
      </c:barChart>
      <c:catAx>
        <c:axId val="875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87504384"/>
        <c:crosses val="autoZero"/>
        <c:auto val="1"/>
        <c:lblAlgn val="ctr"/>
        <c:lblOffset val="100"/>
        <c:noMultiLvlLbl val="0"/>
      </c:catAx>
      <c:valAx>
        <c:axId val="87504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Miljoonaa euroa / vuosi</a:t>
                </a:r>
              </a:p>
            </c:rich>
          </c:tx>
          <c:layout>
            <c:manualLayout>
              <c:xMode val="edge"/>
              <c:yMode val="edge"/>
              <c:x val="1.562064018971083E-2"/>
              <c:y val="0.3135810955226687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7502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970124339593075"/>
          <c:y val="0.21119426846888439"/>
          <c:w val="0.33638296153747499"/>
          <c:h val="0.733962912616379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 baseline="0"/>
              <a:t>Vaihteluväli, pitkällä aikavälillä esiin tulevien vaikutusten säästöpotentiaali</a:t>
            </a:r>
            <a:endParaRPr lang="fi-FI" sz="1200"/>
          </a:p>
        </c:rich>
      </c:tx>
      <c:layout>
        <c:manualLayout>
          <c:xMode val="edge"/>
          <c:yMode val="edge"/>
          <c:x val="2.0696147158820344E-2"/>
          <c:y val="8.771929824561403E-3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'Pitkä_laskenta-aputaulu'!$B$153</c:f>
              <c:strCache>
                <c:ptCount val="1"/>
                <c:pt idx="0">
                  <c:v>Pessimistinen arvio</c:v>
                </c:pt>
              </c:strCache>
            </c:strRef>
          </c:tx>
          <c:invertIfNegative val="0"/>
          <c:cat>
            <c:numRef>
              <c:f>'Pitkä_laskenta-aputaulu'!$C$152:$H$152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'Pitkä_laskenta-aputaulu'!$C$153:$H$153</c:f>
              <c:numCache>
                <c:formatCode>General</c:formatCode>
                <c:ptCount val="6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 formatCode="0.0">
                  <c:v>-6.8176422954923082</c:v>
                </c:pt>
                <c:pt idx="4" formatCode="0.0">
                  <c:v>-19.542804820790771</c:v>
                </c:pt>
                <c:pt idx="5" formatCode="0.0">
                  <c:v>-28.291281057820001</c:v>
                </c:pt>
              </c:numCache>
            </c:numRef>
          </c:val>
        </c:ser>
        <c:ser>
          <c:idx val="1"/>
          <c:order val="1"/>
          <c:tx>
            <c:strRef>
              <c:f>'Pitkä_laskenta-aputaulu'!$B$154</c:f>
              <c:strCache>
                <c:ptCount val="1"/>
                <c:pt idx="0">
                  <c:v>Neutraali arvio</c:v>
                </c:pt>
              </c:strCache>
            </c:strRef>
          </c:tx>
          <c:invertIfNegative val="0"/>
          <c:cat>
            <c:numRef>
              <c:f>'Pitkä_laskenta-aputaulu'!$C$152:$H$152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'Pitkä_laskenta-aputaulu'!$C$154:$H$154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">
                  <c:v>-6.2551422954923082</c:v>
                </c:pt>
                <c:pt idx="4" formatCode="0.0">
                  <c:v>-18.417804820790771</c:v>
                </c:pt>
                <c:pt idx="5" formatCode="0.0">
                  <c:v>-27.041281057820001</c:v>
                </c:pt>
              </c:numCache>
            </c:numRef>
          </c:val>
        </c:ser>
        <c:ser>
          <c:idx val="2"/>
          <c:order val="2"/>
          <c:tx>
            <c:strRef>
              <c:f>'Pitkä_laskenta-aputaulu'!$B$155</c:f>
              <c:strCache>
                <c:ptCount val="1"/>
                <c:pt idx="0">
                  <c:v>Optimistinen arvio</c:v>
                </c:pt>
              </c:strCache>
            </c:strRef>
          </c:tx>
          <c:invertIfNegative val="0"/>
          <c:cat>
            <c:numRef>
              <c:f>'Pitkä_laskenta-aputaulu'!$C$152:$H$152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'Pitkä_laskenta-aputaulu'!$C$155:$H$155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">
                  <c:v>-3.9780853772953844</c:v>
                </c:pt>
                <c:pt idx="4" formatCode="0.0">
                  <c:v>-11.500682892474458</c:v>
                </c:pt>
                <c:pt idx="5" formatCode="0.0">
                  <c:v>-16.724768634691998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530880"/>
        <c:axId val="38872192"/>
      </c:barChart>
      <c:catAx>
        <c:axId val="8753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38872192"/>
        <c:crosses val="autoZero"/>
        <c:auto val="1"/>
        <c:lblAlgn val="ctr"/>
        <c:lblOffset val="100"/>
        <c:noMultiLvlLbl val="0"/>
      </c:catAx>
      <c:valAx>
        <c:axId val="38872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Miljoonaa euroa / vuosi</a:t>
                </a:r>
              </a:p>
            </c:rich>
          </c:tx>
          <c:layout>
            <c:manualLayout>
              <c:xMode val="edge"/>
              <c:yMode val="edge"/>
              <c:x val="2.7777716596614238E-2"/>
              <c:y val="0.3564801768200027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87530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664837349876718"/>
          <c:y val="0.27257217847769027"/>
          <c:w val="0.22021694840592479"/>
          <c:h val="0.528442119077220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0908258771515"/>
          <c:y val="4.821941231287457E-2"/>
          <c:w val="0.48434849710135808"/>
          <c:h val="0.90356117537425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Lyhyt_av_pessimist!$B$117</c:f>
              <c:strCache>
                <c:ptCount val="1"/>
                <c:pt idx="0">
                  <c:v>Onnettomuuskustannukset, milj. € / vuosi</c:v>
                </c:pt>
              </c:strCache>
            </c:strRef>
          </c:tx>
          <c:invertIfNegative val="0"/>
          <c:cat>
            <c:numRef>
              <c:f>Lyhyt_av_pessimist!$C$116:$H$116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Lyhyt_av_pessimist!$C$117:$H$117</c:f>
              <c:numCache>
                <c:formatCode>#,##0.00</c:formatCode>
                <c:ptCount val="6"/>
                <c:pt idx="0">
                  <c:v>2.1463573037580001E-2</c:v>
                </c:pt>
                <c:pt idx="1">
                  <c:v>0.26642874715799403</c:v>
                </c:pt>
                <c:pt idx="2">
                  <c:v>2.2961389351679999</c:v>
                </c:pt>
                <c:pt idx="3">
                  <c:v>0.34904263975199956</c:v>
                </c:pt>
                <c:pt idx="4">
                  <c:v>-32.197301042616004</c:v>
                </c:pt>
                <c:pt idx="5">
                  <c:v>-59.201390268940806</c:v>
                </c:pt>
              </c:numCache>
            </c:numRef>
          </c:val>
        </c:ser>
        <c:ser>
          <c:idx val="1"/>
          <c:order val="1"/>
          <c:tx>
            <c:strRef>
              <c:f>Lyhyt_av_pessimist!$B$118</c:f>
              <c:strCache>
                <c:ptCount val="1"/>
                <c:pt idx="0">
                  <c:v>Ympäristökustannukset, milj. € / vuosi</c:v>
                </c:pt>
              </c:strCache>
            </c:strRef>
          </c:tx>
          <c:invertIfNegative val="0"/>
          <c:cat>
            <c:numRef>
              <c:f>Lyhyt_av_pessimist!$C$116:$H$116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Lyhyt_av_pessimist!$C$118:$H$118</c:f>
              <c:numCache>
                <c:formatCode>#,##0.00</c:formatCode>
                <c:ptCount val="6"/>
                <c:pt idx="0">
                  <c:v>1.3182997975804691E-2</c:v>
                </c:pt>
                <c:pt idx="1">
                  <c:v>0.17553771173151902</c:v>
                </c:pt>
                <c:pt idx="2">
                  <c:v>2.7249383658600004</c:v>
                </c:pt>
                <c:pt idx="3">
                  <c:v>5.6016732474450004</c:v>
                </c:pt>
                <c:pt idx="4">
                  <c:v>10.343226065535001</c:v>
                </c:pt>
                <c:pt idx="5">
                  <c:v>14.534491647192006</c:v>
                </c:pt>
              </c:numCache>
            </c:numRef>
          </c:val>
        </c:ser>
        <c:ser>
          <c:idx val="2"/>
          <c:order val="2"/>
          <c:tx>
            <c:strRef>
              <c:f>Lyhyt_av_pessimist!$B$119</c:f>
              <c:strCache>
                <c:ptCount val="1"/>
                <c:pt idx="0">
                  <c:v>Päällysteiden kulumisen kustannukset, milj. € / vuosi</c:v>
                </c:pt>
              </c:strCache>
            </c:strRef>
          </c:tx>
          <c:invertIfNegative val="0"/>
          <c:cat>
            <c:numRef>
              <c:f>Lyhyt_av_pessimist!$C$116:$H$116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Lyhyt_av_pessimist!$C$119:$H$119</c:f>
              <c:numCache>
                <c:formatCode>#,##0.00</c:formatCode>
                <c:ptCount val="6"/>
                <c:pt idx="0">
                  <c:v>1.4218917187499998E-3</c:v>
                </c:pt>
                <c:pt idx="1">
                  <c:v>1.8390331732499998E-2</c:v>
                </c:pt>
                <c:pt idx="2">
                  <c:v>0.2538648</c:v>
                </c:pt>
                <c:pt idx="3">
                  <c:v>0.43874459999999998</c:v>
                </c:pt>
                <c:pt idx="4">
                  <c:v>0.14923755</c:v>
                </c:pt>
                <c:pt idx="5">
                  <c:v>-8.2291439999999993E-2</c:v>
                </c:pt>
              </c:numCache>
            </c:numRef>
          </c:val>
        </c:ser>
        <c:ser>
          <c:idx val="3"/>
          <c:order val="3"/>
          <c:tx>
            <c:strRef>
              <c:f>Lyhyt_av_pessimist!$B$120</c:f>
              <c:strCache>
                <c:ptCount val="1"/>
                <c:pt idx="0">
                  <c:v>Pysäköintipaikkojen rakentamis-kustannukset, milj. € / vuosi</c:v>
                </c:pt>
              </c:strCache>
            </c:strRef>
          </c:tx>
          <c:invertIfNegative val="0"/>
          <c:cat>
            <c:numRef>
              <c:f>Lyhyt_av_pessimist!$C$116:$H$116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Lyhyt_av_pessimist!$C$120:$H$120</c:f>
              <c:numCache>
                <c:formatCode>#,##0.00</c:formatCode>
                <c:ptCount val="6"/>
                <c:pt idx="0">
                  <c:v>-7.1999999999999995E-2</c:v>
                </c:pt>
                <c:pt idx="1">
                  <c:v>-0.48</c:v>
                </c:pt>
                <c:pt idx="2">
                  <c:v>-4.8</c:v>
                </c:pt>
                <c:pt idx="3">
                  <c:v>-9.6</c:v>
                </c:pt>
                <c:pt idx="4">
                  <c:v>-36</c:v>
                </c:pt>
                <c:pt idx="5">
                  <c:v>-57.6</c:v>
                </c:pt>
              </c:numCache>
            </c:numRef>
          </c:val>
        </c:ser>
        <c:ser>
          <c:idx val="5"/>
          <c:order val="4"/>
          <c:tx>
            <c:strRef>
              <c:f>Lyhyt_av_pessimist!$B$121</c:f>
              <c:strCache>
                <c:ptCount val="1"/>
                <c:pt idx="0">
                  <c:v>Pysäköintipaikkojen tilankäyttö, milj. € / vuosi</c:v>
                </c:pt>
              </c:strCache>
            </c:strRef>
          </c:tx>
          <c:invertIfNegative val="0"/>
          <c:val>
            <c:numRef>
              <c:f>Lyhyt_av_pessimist!$C$121:$H$121</c:f>
              <c:numCache>
                <c:formatCode>#,##0.00</c:formatCode>
                <c:ptCount val="6"/>
                <c:pt idx="0">
                  <c:v>-2.8799999999999999E-2</c:v>
                </c:pt>
                <c:pt idx="1">
                  <c:v>-0.192</c:v>
                </c:pt>
                <c:pt idx="2">
                  <c:v>-1.92</c:v>
                </c:pt>
                <c:pt idx="3">
                  <c:v>-3.84</c:v>
                </c:pt>
                <c:pt idx="4">
                  <c:v>-14.4</c:v>
                </c:pt>
                <c:pt idx="5">
                  <c:v>-23.04</c:v>
                </c:pt>
              </c:numCache>
            </c:numRef>
          </c:val>
        </c:ser>
        <c:ser>
          <c:idx val="4"/>
          <c:order val="5"/>
          <c:tx>
            <c:strRef>
              <c:f>Lyhyt_av_pessimist!$B$122</c:f>
              <c:strCache>
                <c:ptCount val="1"/>
                <c:pt idx="0">
                  <c:v>Tehottoman ajankäytön väheneminen, milj. € / vuosi</c:v>
                </c:pt>
              </c:strCache>
            </c:strRef>
          </c:tx>
          <c:invertIfNegative val="0"/>
          <c:cat>
            <c:numRef>
              <c:f>Lyhyt_av_pessimist!$C$116:$H$116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Lyhyt_av_pessimist!$C$122:$H$122</c:f>
              <c:numCache>
                <c:formatCode>#,##0.00</c:formatCode>
                <c:ptCount val="6"/>
                <c:pt idx="0">
                  <c:v>-2.5983227418046147E-2</c:v>
                </c:pt>
                <c:pt idx="1">
                  <c:v>-0.39567441050638691</c:v>
                </c:pt>
                <c:pt idx="2">
                  <c:v>-13.30005223357664</c:v>
                </c:pt>
                <c:pt idx="3">
                  <c:v>-35.245138418978101</c:v>
                </c:pt>
                <c:pt idx="4">
                  <c:v>-155.12137570985399</c:v>
                </c:pt>
                <c:pt idx="5">
                  <c:v>-256.6075638861314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32128"/>
        <c:axId val="38033664"/>
      </c:barChart>
      <c:catAx>
        <c:axId val="380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033664"/>
        <c:crosses val="autoZero"/>
        <c:auto val="1"/>
        <c:lblAlgn val="ctr"/>
        <c:lblOffset val="100"/>
        <c:noMultiLvlLbl val="0"/>
      </c:catAx>
      <c:valAx>
        <c:axId val="38033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Miljoonaa euroa / vuosi</a:t>
                </a:r>
              </a:p>
            </c:rich>
          </c:tx>
          <c:layout>
            <c:manualLayout>
              <c:xMode val="edge"/>
              <c:yMode val="edge"/>
              <c:x val="1.2152734620925192E-2"/>
              <c:y val="0.271020715244470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803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241203508852338"/>
          <c:y val="4.6156266297331723E-2"/>
          <c:w val="0.36776119414108183"/>
          <c:h val="0.894657809467627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0908258771515"/>
          <c:y val="4.821941231287457E-2"/>
          <c:w val="0.48434849710135808"/>
          <c:h val="0.90356117537425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Lyhyt_av_optimist!$B$117</c:f>
              <c:strCache>
                <c:ptCount val="1"/>
                <c:pt idx="0">
                  <c:v>Onnettomuuskustannukset, milj. € / vuosi</c:v>
                </c:pt>
              </c:strCache>
            </c:strRef>
          </c:tx>
          <c:invertIfNegative val="0"/>
          <c:cat>
            <c:numRef>
              <c:f>Lyhyt_av_optimist!$C$116:$H$116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Lyhyt_av_optimist!$C$117:$H$117</c:f>
              <c:numCache>
                <c:formatCode>#,##0.00</c:formatCode>
                <c:ptCount val="6"/>
                <c:pt idx="0">
                  <c:v>2.1463573037580001E-2</c:v>
                </c:pt>
                <c:pt idx="1">
                  <c:v>0.26642874715799403</c:v>
                </c:pt>
                <c:pt idx="2">
                  <c:v>-2.3741288507519989</c:v>
                </c:pt>
                <c:pt idx="3">
                  <c:v>-12.969623821895993</c:v>
                </c:pt>
                <c:pt idx="4">
                  <c:v>-85.123542779916008</c:v>
                </c:pt>
                <c:pt idx="5">
                  <c:v>-146.7539528716608</c:v>
                </c:pt>
              </c:numCache>
            </c:numRef>
          </c:val>
        </c:ser>
        <c:ser>
          <c:idx val="1"/>
          <c:order val="1"/>
          <c:tx>
            <c:strRef>
              <c:f>Lyhyt_av_optimist!$B$118</c:f>
              <c:strCache>
                <c:ptCount val="1"/>
                <c:pt idx="0">
                  <c:v>Ympäristökustannukset, milj. € / vuosi</c:v>
                </c:pt>
              </c:strCache>
            </c:strRef>
          </c:tx>
          <c:invertIfNegative val="0"/>
          <c:cat>
            <c:numRef>
              <c:f>Lyhyt_av_optimist!$C$116:$H$116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Lyhyt_av_optimist!$C$118:$H$118</c:f>
              <c:numCache>
                <c:formatCode>#,##0.00</c:formatCode>
                <c:ptCount val="6"/>
                <c:pt idx="0">
                  <c:v>1.3182997975804691E-2</c:v>
                </c:pt>
                <c:pt idx="1">
                  <c:v>0.17553771173151902</c:v>
                </c:pt>
                <c:pt idx="2">
                  <c:v>2.1211087976999998</c:v>
                </c:pt>
                <c:pt idx="3">
                  <c:v>3.8784365567730004</c:v>
                </c:pt>
                <c:pt idx="4">
                  <c:v>3.4873251500175</c:v>
                </c:pt>
                <c:pt idx="5">
                  <c:v>3.1932047089800051</c:v>
                </c:pt>
              </c:numCache>
            </c:numRef>
          </c:val>
        </c:ser>
        <c:ser>
          <c:idx val="2"/>
          <c:order val="2"/>
          <c:tx>
            <c:strRef>
              <c:f>Lyhyt_av_optimist!$B$119</c:f>
              <c:strCache>
                <c:ptCount val="1"/>
                <c:pt idx="0">
                  <c:v>Päällysteiden kulumisen kustannukset, milj. € / vuosi</c:v>
                </c:pt>
              </c:strCache>
            </c:strRef>
          </c:tx>
          <c:invertIfNegative val="0"/>
          <c:cat>
            <c:numRef>
              <c:f>Lyhyt_av_optimist!$C$116:$H$116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Lyhyt_av_optimist!$C$119:$H$119</c:f>
              <c:numCache>
                <c:formatCode>#,##0.00</c:formatCode>
                <c:ptCount val="6"/>
                <c:pt idx="0">
                  <c:v>1.4218917187499998E-3</c:v>
                </c:pt>
                <c:pt idx="1">
                  <c:v>1.8390331732499998E-2</c:v>
                </c:pt>
                <c:pt idx="2">
                  <c:v>0.110376</c:v>
                </c:pt>
                <c:pt idx="3">
                  <c:v>2.9249640000000122E-2</c:v>
                </c:pt>
                <c:pt idx="4">
                  <c:v>-1.4799390374999999</c:v>
                </c:pt>
                <c:pt idx="5">
                  <c:v>-2.7773360999999994</c:v>
                </c:pt>
              </c:numCache>
            </c:numRef>
          </c:val>
        </c:ser>
        <c:ser>
          <c:idx val="3"/>
          <c:order val="3"/>
          <c:tx>
            <c:strRef>
              <c:f>Lyhyt_av_optimist!$B$120</c:f>
              <c:strCache>
                <c:ptCount val="1"/>
                <c:pt idx="0">
                  <c:v>Pysäköintipaikkojen rakentamis-kustannukset, milj. € / vuosi</c:v>
                </c:pt>
              </c:strCache>
            </c:strRef>
          </c:tx>
          <c:invertIfNegative val="0"/>
          <c:cat>
            <c:numRef>
              <c:f>Lyhyt_av_optimist!$C$116:$H$116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Lyhyt_av_optimist!$C$120:$H$120</c:f>
              <c:numCache>
                <c:formatCode>#,##0.00</c:formatCode>
                <c:ptCount val="6"/>
                <c:pt idx="0">
                  <c:v>-7.1999999999999995E-2</c:v>
                </c:pt>
                <c:pt idx="1">
                  <c:v>-0.48</c:v>
                </c:pt>
                <c:pt idx="2">
                  <c:v>-10.8</c:v>
                </c:pt>
                <c:pt idx="3">
                  <c:v>-21.6</c:v>
                </c:pt>
                <c:pt idx="4">
                  <c:v>-84</c:v>
                </c:pt>
                <c:pt idx="5">
                  <c:v>-134.4</c:v>
                </c:pt>
              </c:numCache>
            </c:numRef>
          </c:val>
        </c:ser>
        <c:ser>
          <c:idx val="5"/>
          <c:order val="4"/>
          <c:tx>
            <c:strRef>
              <c:f>Lyhyt_av_optimist!$B$121</c:f>
              <c:strCache>
                <c:ptCount val="1"/>
                <c:pt idx="0">
                  <c:v>Pysäköintipaikkojen tilankäyttö, milj. € / vuosi</c:v>
                </c:pt>
              </c:strCache>
            </c:strRef>
          </c:tx>
          <c:invertIfNegative val="0"/>
          <c:val>
            <c:numRef>
              <c:f>Lyhyt_av_optimist!$C$121:$H$121</c:f>
              <c:numCache>
                <c:formatCode>#,##0.00</c:formatCode>
                <c:ptCount val="6"/>
                <c:pt idx="0">
                  <c:v>-2.8799999999999999E-2</c:v>
                </c:pt>
                <c:pt idx="1">
                  <c:v>-0.192</c:v>
                </c:pt>
                <c:pt idx="2">
                  <c:v>-4.32</c:v>
                </c:pt>
                <c:pt idx="3">
                  <c:v>-8.64</c:v>
                </c:pt>
                <c:pt idx="4">
                  <c:v>-33.6</c:v>
                </c:pt>
                <c:pt idx="5">
                  <c:v>-53.76</c:v>
                </c:pt>
              </c:numCache>
            </c:numRef>
          </c:val>
        </c:ser>
        <c:ser>
          <c:idx val="4"/>
          <c:order val="5"/>
          <c:tx>
            <c:strRef>
              <c:f>Lyhyt_av_optimist!$B$122</c:f>
              <c:strCache>
                <c:ptCount val="1"/>
                <c:pt idx="0">
                  <c:v>Tehottoman ajankäytön väheneminen, milj. € / vuosi</c:v>
                </c:pt>
              </c:strCache>
            </c:strRef>
          </c:tx>
          <c:invertIfNegative val="0"/>
          <c:cat>
            <c:numRef>
              <c:f>Lyhyt_av_optimist!$C$116:$H$116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Lyhyt_av_optimist!$C$122:$H$122</c:f>
              <c:numCache>
                <c:formatCode>#,##0.00</c:formatCode>
                <c:ptCount val="6"/>
                <c:pt idx="0">
                  <c:v>-7.2988684310153831E-2</c:v>
                </c:pt>
                <c:pt idx="1">
                  <c:v>-1.1114768066879561</c:v>
                </c:pt>
                <c:pt idx="2">
                  <c:v>-30.311837956204382</c:v>
                </c:pt>
                <c:pt idx="3">
                  <c:v>-88.396878656934305</c:v>
                </c:pt>
                <c:pt idx="4">
                  <c:v>-368.98599515510955</c:v>
                </c:pt>
                <c:pt idx="5">
                  <c:v>-655.80180428710457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84672"/>
        <c:axId val="38290560"/>
      </c:barChart>
      <c:catAx>
        <c:axId val="3828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290560"/>
        <c:crosses val="autoZero"/>
        <c:auto val="1"/>
        <c:lblAlgn val="ctr"/>
        <c:lblOffset val="100"/>
        <c:noMultiLvlLbl val="0"/>
      </c:catAx>
      <c:valAx>
        <c:axId val="38290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Miljoonaa euroa / vuosi</a:t>
                </a:r>
              </a:p>
            </c:rich>
          </c:tx>
          <c:layout>
            <c:manualLayout>
              <c:xMode val="edge"/>
              <c:yMode val="edge"/>
              <c:x val="1.2152734620925192E-2"/>
              <c:y val="0.271020715244470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8284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241203508852338"/>
          <c:y val="4.6156266297331723E-2"/>
          <c:w val="0.36776119414108183"/>
          <c:h val="0.894657809467627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Vaikutusten</a:t>
            </a:r>
            <a:r>
              <a:rPr lang="fi-FI" sz="1200" baseline="0"/>
              <a:t> vaihteluväli, lyhyen ja keskipitkän aikavälin vaikutukset</a:t>
            </a:r>
            <a:endParaRPr lang="fi-FI" sz="1200"/>
          </a:p>
        </c:rich>
      </c:tx>
      <c:layout>
        <c:manualLayout>
          <c:xMode val="edge"/>
          <c:yMode val="edge"/>
          <c:x val="6.7316165898843067E-2"/>
          <c:y val="2.192982456140350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Lyhyt_av_koonti!$B$14</c:f>
              <c:strCache>
                <c:ptCount val="1"/>
                <c:pt idx="0">
                  <c:v>Pessimistinen arvio</c:v>
                </c:pt>
              </c:strCache>
            </c:strRef>
          </c:tx>
          <c:invertIfNegative val="0"/>
          <c:cat>
            <c:numRef>
              <c:f>Lyhyt_av_koonti!$C$13:$H$13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Lyhyt_av_koonti!$C$14:$H$14</c:f>
              <c:numCache>
                <c:formatCode>0.0</c:formatCode>
                <c:ptCount val="6"/>
                <c:pt idx="0">
                  <c:v>-9.0714764685911456E-2</c:v>
                </c:pt>
                <c:pt idx="1">
                  <c:v>-0.60731761988437394</c:v>
                </c:pt>
                <c:pt idx="2">
                  <c:v>-14.745110132548639</c:v>
                </c:pt>
                <c:pt idx="3">
                  <c:v>-42.2956779317811</c:v>
                </c:pt>
                <c:pt idx="4">
                  <c:v>-227.226213136935</c:v>
                </c:pt>
                <c:pt idx="5">
                  <c:v>-381.99675394788017</c:v>
                </c:pt>
              </c:numCache>
            </c:numRef>
          </c:val>
        </c:ser>
        <c:ser>
          <c:idx val="1"/>
          <c:order val="1"/>
          <c:tx>
            <c:strRef>
              <c:f>Lyhyt_av_koonti!$B$15</c:f>
              <c:strCache>
                <c:ptCount val="1"/>
                <c:pt idx="0">
                  <c:v>Neutraali arvio</c:v>
                </c:pt>
              </c:strCache>
            </c:strRef>
          </c:tx>
          <c:invertIfNegative val="0"/>
          <c:cat>
            <c:numRef>
              <c:f>Lyhyt_av_koonti!$C$13:$H$13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Lyhyt_av_koonti!$C$15:$H$15</c:f>
              <c:numCache>
                <c:formatCode>0.0</c:formatCode>
                <c:ptCount val="6"/>
                <c:pt idx="0">
                  <c:v>-1.975510775570255E-2</c:v>
                </c:pt>
                <c:pt idx="1">
                  <c:v>-0.30083216722718975</c:v>
                </c:pt>
                <c:pt idx="2">
                  <c:v>-12.533690559825985</c:v>
                </c:pt>
                <c:pt idx="3">
                  <c:v>-31.577677385542856</c:v>
                </c:pt>
                <c:pt idx="4">
                  <c:v>-138.20888564032762</c:v>
                </c:pt>
                <c:pt idx="5">
                  <c:v>-227.26351251688084</c:v>
                </c:pt>
              </c:numCache>
            </c:numRef>
          </c:val>
        </c:ser>
        <c:ser>
          <c:idx val="2"/>
          <c:order val="2"/>
          <c:tx>
            <c:strRef>
              <c:f>Lyhyt_av_koonti!$B$16</c:f>
              <c:strCache>
                <c:ptCount val="1"/>
                <c:pt idx="0">
                  <c:v>Optimistinen arvio</c:v>
                </c:pt>
              </c:strCache>
            </c:strRef>
          </c:tx>
          <c:invertIfNegative val="0"/>
          <c:cat>
            <c:numRef>
              <c:f>Lyhyt_av_koonti!$C$13:$H$13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Lyhyt_av_koonti!$C$16:$H$16</c:f>
              <c:numCache>
                <c:formatCode>0.0</c:formatCode>
                <c:ptCount val="6"/>
                <c:pt idx="0">
                  <c:v>-2.725034913640513E-2</c:v>
                </c:pt>
                <c:pt idx="1">
                  <c:v>-0.41497022895437941</c:v>
                </c:pt>
                <c:pt idx="2">
                  <c:v>-18.295681316881762</c:v>
                </c:pt>
                <c:pt idx="3">
                  <c:v>-53.825460964733338</c:v>
                </c:pt>
                <c:pt idx="4">
                  <c:v>-204.26705304524546</c:v>
                </c:pt>
                <c:pt idx="5">
                  <c:v>-381.03962208502435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699008"/>
        <c:axId val="38700544"/>
      </c:barChart>
      <c:catAx>
        <c:axId val="386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38700544"/>
        <c:crosses val="autoZero"/>
        <c:auto val="1"/>
        <c:lblAlgn val="ctr"/>
        <c:lblOffset val="100"/>
        <c:noMultiLvlLbl val="0"/>
      </c:catAx>
      <c:valAx>
        <c:axId val="38700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Miljoonaa euroa / vuosi</a:t>
                </a:r>
              </a:p>
            </c:rich>
          </c:tx>
          <c:layout>
            <c:manualLayout>
              <c:xMode val="edge"/>
              <c:yMode val="edge"/>
              <c:x val="2.7777716596614238E-2"/>
              <c:y val="0.3564801768200027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8699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664837349876718"/>
          <c:y val="0.27257217847769027"/>
          <c:w val="0.22021694840592479"/>
          <c:h val="0.528442119077220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Pitkän aikavälin säästöpotentiaali (neutraali skenaario)</a:t>
            </a:r>
          </a:p>
        </c:rich>
      </c:tx>
      <c:layout>
        <c:manualLayout>
          <c:xMode val="edge"/>
          <c:yMode val="edge"/>
          <c:x val="0.11524131692715121"/>
          <c:y val="2.17155266015200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97960777257754"/>
          <c:y val="0.24386152376381526"/>
          <c:w val="0.42696709368940194"/>
          <c:h val="0.70791923426951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Pitkä_aikaväli!$B$29</c:f>
              <c:strCache>
                <c:ptCount val="1"/>
                <c:pt idx="0">
                  <c:v>Onnettomuuskustannukset, milj. € / vuosi</c:v>
                </c:pt>
              </c:strCache>
            </c:strRef>
          </c:tx>
          <c:invertIfNegative val="0"/>
          <c:cat>
            <c:numRef>
              <c:f>Pitkä_aikaväli!$C$28:$H$28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Pitkä_aikaväli!$C$29:$H$29</c:f>
              <c:numCache>
                <c:formatCode>#,##0.00</c:formatCode>
                <c:ptCount val="6"/>
                <c:pt idx="0">
                  <c:v>2.1463573037580001E-2</c:v>
                </c:pt>
                <c:pt idx="1">
                  <c:v>0.26642874715799403</c:v>
                </c:pt>
                <c:pt idx="2">
                  <c:v>0.13882708540799935</c:v>
                </c:pt>
                <c:pt idx="3">
                  <c:v>-5.839062176591999</c:v>
                </c:pt>
                <c:pt idx="4">
                  <c:v>-56.413247202395993</c:v>
                </c:pt>
                <c:pt idx="5">
                  <c:v>-99.26031137393278</c:v>
                </c:pt>
              </c:numCache>
            </c:numRef>
          </c:val>
        </c:ser>
        <c:ser>
          <c:idx val="3"/>
          <c:order val="1"/>
          <c:tx>
            <c:strRef>
              <c:f>Pitkä_aikaväli!$B$30</c:f>
              <c:strCache>
                <c:ptCount val="1"/>
                <c:pt idx="0">
                  <c:v>Ympäristökustannukset, milj. € / vuosi</c:v>
                </c:pt>
              </c:strCache>
            </c:strRef>
          </c:tx>
          <c:invertIfNegative val="0"/>
          <c:cat>
            <c:numRef>
              <c:f>Pitkä_aikaväli!$C$28:$H$28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Pitkä_aikaväli!$C$30:$H$30</c:f>
              <c:numCache>
                <c:formatCode>#,##0.00</c:formatCode>
                <c:ptCount val="6"/>
                <c:pt idx="0">
                  <c:v>1.3182997975804691E-2</c:v>
                </c:pt>
                <c:pt idx="1">
                  <c:v>0.17553771173151902</c:v>
                </c:pt>
                <c:pt idx="2">
                  <c:v>2.4462477959400006</c:v>
                </c:pt>
                <c:pt idx="3">
                  <c:v>4.8015990696329993</c:v>
                </c:pt>
                <c:pt idx="4">
                  <c:v>7.2031187759850006</c:v>
                </c:pt>
                <c:pt idx="5">
                  <c:v>9.3400090800720044</c:v>
                </c:pt>
              </c:numCache>
            </c:numRef>
          </c:val>
        </c:ser>
        <c:ser>
          <c:idx val="2"/>
          <c:order val="2"/>
          <c:tx>
            <c:strRef>
              <c:f>Pitkä_aikaväli!$B$31</c:f>
              <c:strCache>
                <c:ptCount val="1"/>
                <c:pt idx="0">
                  <c:v>Päällysteiden kulumisen kustannukset, milj. € / vuosi</c:v>
                </c:pt>
              </c:strCache>
            </c:strRef>
          </c:tx>
          <c:invertIfNegative val="0"/>
          <c:cat>
            <c:numRef>
              <c:f>Pitkä_aikaväli!$C$28:$H$28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Pitkä_aikaväli!$C$31:$H$31</c:f>
              <c:numCache>
                <c:formatCode>#,##0.00</c:formatCode>
                <c:ptCount val="6"/>
                <c:pt idx="0">
                  <c:v>1.4218917187499998E-3</c:v>
                </c:pt>
                <c:pt idx="1">
                  <c:v>1.8390331732499998E-2</c:v>
                </c:pt>
                <c:pt idx="2">
                  <c:v>0.18763919999999998</c:v>
                </c:pt>
                <c:pt idx="3">
                  <c:v>0.24862193999999999</c:v>
                </c:pt>
                <c:pt idx="4">
                  <c:v>-0.59695019999999999</c:v>
                </c:pt>
                <c:pt idx="5">
                  <c:v>-1.3166630399999999</c:v>
                </c:pt>
              </c:numCache>
            </c:numRef>
          </c:val>
        </c:ser>
        <c:ser>
          <c:idx val="1"/>
          <c:order val="3"/>
          <c:tx>
            <c:strRef>
              <c:f>Pitkä_aikaväli!$B$32</c:f>
              <c:strCache>
                <c:ptCount val="1"/>
                <c:pt idx="0">
                  <c:v>Pysäköintipaikkojen rakentamis-kustannukset, milj. € / vuosi</c:v>
                </c:pt>
              </c:strCache>
            </c:strRef>
          </c:tx>
          <c:invertIfNegative val="0"/>
          <c:cat>
            <c:numRef>
              <c:f>Pitkä_aikaväli!$C$28:$H$28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Pitkä_aikaväli!$C$32:$H$32</c:f>
              <c:numCache>
                <c:formatCode>#,##0.00</c:formatCode>
                <c:ptCount val="6"/>
                <c:pt idx="0">
                  <c:v>-7.1999999999999995E-2</c:v>
                </c:pt>
                <c:pt idx="1">
                  <c:v>-0.48</c:v>
                </c:pt>
                <c:pt idx="2">
                  <c:v>-7.2</c:v>
                </c:pt>
                <c:pt idx="3">
                  <c:v>-14.4</c:v>
                </c:pt>
                <c:pt idx="4">
                  <c:v>-54</c:v>
                </c:pt>
                <c:pt idx="5">
                  <c:v>-86.4</c:v>
                </c:pt>
              </c:numCache>
            </c:numRef>
          </c:val>
        </c:ser>
        <c:ser>
          <c:idx val="4"/>
          <c:order val="4"/>
          <c:tx>
            <c:strRef>
              <c:f>Pitkä_aikaväli!$B$33</c:f>
              <c:strCache>
                <c:ptCount val="1"/>
                <c:pt idx="0">
                  <c:v>Pysäköintipaikkojen tilankäyttö, milj. € / vuosi</c:v>
                </c:pt>
              </c:strCache>
            </c:strRef>
          </c:tx>
          <c:invertIfNegative val="0"/>
          <c:cat>
            <c:numRef>
              <c:f>Pitkä_aikaväli!$C$28:$H$28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Pitkä_aikaväli!$C$33:$H$33</c:f>
              <c:numCache>
                <c:formatCode>#,##0.00</c:formatCode>
                <c:ptCount val="6"/>
                <c:pt idx="0">
                  <c:v>-2.8799999999999999E-2</c:v>
                </c:pt>
                <c:pt idx="1">
                  <c:v>-0.192</c:v>
                </c:pt>
                <c:pt idx="2">
                  <c:v>-2.88</c:v>
                </c:pt>
                <c:pt idx="3">
                  <c:v>-5.76</c:v>
                </c:pt>
                <c:pt idx="4">
                  <c:v>-21.6</c:v>
                </c:pt>
                <c:pt idx="5">
                  <c:v>-34.56</c:v>
                </c:pt>
              </c:numCache>
            </c:numRef>
          </c:val>
        </c:ser>
        <c:ser>
          <c:idx val="5"/>
          <c:order val="5"/>
          <c:tx>
            <c:strRef>
              <c:f>Pitkä_aikaväli!$B$34</c:f>
              <c:strCache>
                <c:ptCount val="1"/>
                <c:pt idx="0">
                  <c:v>Tehottoman ajankäytön väheneminen, milj. € / vuosi</c:v>
                </c:pt>
              </c:strCache>
            </c:strRef>
          </c:tx>
          <c:invertIfNegative val="0"/>
          <c:cat>
            <c:numRef>
              <c:f>Pitkä_aikaväli!$C$28:$H$28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Pitkä_aikaväli!$C$34:$H$34</c:f>
              <c:numCache>
                <c:formatCode>#,##0.00</c:formatCode>
                <c:ptCount val="6"/>
                <c:pt idx="0">
                  <c:v>-4.5738335173748701E-2</c:v>
                </c:pt>
                <c:pt idx="1">
                  <c:v>-0.69650657773357671</c:v>
                </c:pt>
                <c:pt idx="2">
                  <c:v>-19.971514773722625</c:v>
                </c:pt>
                <c:pt idx="3">
                  <c:v>-52.924514150364963</c:v>
                </c:pt>
                <c:pt idx="4">
                  <c:v>-240.0280201508516</c:v>
                </c:pt>
                <c:pt idx="5">
                  <c:v>-397.06330113090024</c:v>
                </c:pt>
              </c:numCache>
            </c:numRef>
          </c:val>
        </c:ser>
        <c:ser>
          <c:idx val="6"/>
          <c:order val="6"/>
          <c:tx>
            <c:strRef>
              <c:f>Pitkä_aikaväli!$B$35</c:f>
              <c:strCache>
                <c:ptCount val="1"/>
                <c:pt idx="0">
                  <c:v>Reuna-alueiden joukkoliikenteen säästöt, milj. € / vuosi</c:v>
                </c:pt>
              </c:strCache>
            </c:strRef>
          </c:tx>
          <c:invertIfNegative val="0"/>
          <c:cat>
            <c:numRef>
              <c:f>Pitkä_aikaväli!$C$28:$H$28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Pitkä_aikaväli!$C$35:$H$35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-2.5698999755999998</c:v>
                </c:pt>
                <c:pt idx="4">
                  <c:v>-4.3234681812</c:v>
                </c:pt>
                <c:pt idx="5">
                  <c:v>-6.4852022718000004</c:v>
                </c:pt>
              </c:numCache>
            </c:numRef>
          </c:val>
        </c:ser>
        <c:ser>
          <c:idx val="7"/>
          <c:order val="7"/>
          <c:tx>
            <c:strRef>
              <c:f>Pitkä_aikaväli!$B$36</c:f>
              <c:strCache>
                <c:ptCount val="1"/>
                <c:pt idx="0">
                  <c:v>Bussiliikenteen yleisen vähentämisen säästöt, milj. € / vuosi</c:v>
                </c:pt>
              </c:strCache>
            </c:strRef>
          </c:tx>
          <c:invertIfNegative val="0"/>
          <c:cat>
            <c:numRef>
              <c:f>Pitkä_aikaväli!$C$28:$H$28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Pitkä_aikaväli!$C$36:$H$36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-8.2236799219200005</c:v>
                </c:pt>
                <c:pt idx="5">
                  <c:v>-16.447359843840001</c:v>
                </c:pt>
              </c:numCache>
            </c:numRef>
          </c:val>
        </c:ser>
        <c:ser>
          <c:idx val="8"/>
          <c:order val="8"/>
          <c:tx>
            <c:strRef>
              <c:f>Pitkä_aikaväli!$B$37</c:f>
              <c:strCache>
                <c:ptCount val="1"/>
                <c:pt idx="0">
                  <c:v>Palvelulinjojen säästöt, milj. € / vuosi</c:v>
                </c:pt>
              </c:strCache>
            </c:strRef>
          </c:tx>
          <c:invertIfNegative val="0"/>
          <c:cat>
            <c:numRef>
              <c:f>Pitkä_aikaväli!$C$28:$H$28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Pitkä_aikaväli!$C$37:$H$37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-1.6875</c:v>
                </c:pt>
                <c:pt idx="4">
                  <c:v>-3.375</c:v>
                </c:pt>
                <c:pt idx="5">
                  <c:v>-3.75</c:v>
                </c:pt>
              </c:numCache>
            </c:numRef>
          </c:val>
        </c:ser>
        <c:ser>
          <c:idx val="9"/>
          <c:order val="9"/>
          <c:tx>
            <c:strRef>
              <c:f>Pitkä_aikaväli!$B$38</c:f>
              <c:strCache>
                <c:ptCount val="1"/>
                <c:pt idx="0">
                  <c:v>Tieinvestoinnit, milj. € / vuosi</c:v>
                </c:pt>
              </c:strCache>
            </c:strRef>
          </c:tx>
          <c:invertIfNegative val="0"/>
          <c:cat>
            <c:numRef>
              <c:f>Pitkä_aikaväli!$C$28:$H$28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Pitkä_aikaväli!$C$38:$H$38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-8.815384615384616</c:v>
                </c:pt>
                <c:pt idx="4">
                  <c:v>-22.03846153846154</c:v>
                </c:pt>
                <c:pt idx="5">
                  <c:v>-28.65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67072"/>
        <c:axId val="38468992"/>
      </c:barChart>
      <c:catAx>
        <c:axId val="3846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Kutsuplus-ajoneuvojen määrä</a:t>
                </a:r>
              </a:p>
            </c:rich>
          </c:tx>
          <c:layout>
            <c:manualLayout>
              <c:xMode val="edge"/>
              <c:yMode val="edge"/>
              <c:x val="0.16704916219124574"/>
              <c:y val="0.11516632633194623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crossAx val="38468992"/>
        <c:crosses val="autoZero"/>
        <c:auto val="1"/>
        <c:lblAlgn val="ctr"/>
        <c:lblOffset val="100"/>
        <c:noMultiLvlLbl val="0"/>
      </c:catAx>
      <c:valAx>
        <c:axId val="38468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Miljoonaa euroa / vuosi</a:t>
                </a:r>
              </a:p>
            </c:rich>
          </c:tx>
          <c:layout>
            <c:manualLayout>
              <c:xMode val="edge"/>
              <c:yMode val="edge"/>
              <c:x val="1.075881114648743E-2"/>
              <c:y val="0.3135809966449486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8467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970124339593075"/>
          <c:y val="0.11056529898895685"/>
          <c:w val="0.41174000308548514"/>
          <c:h val="0.8894347010110431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 baseline="0"/>
              <a:t>Vaihteluväli, pitkän aikavälin säästöpotentiaali</a:t>
            </a:r>
            <a:endParaRPr lang="fi-FI" sz="1200"/>
          </a:p>
        </c:rich>
      </c:tx>
      <c:layout>
        <c:manualLayout>
          <c:xMode val="edge"/>
          <c:yMode val="edge"/>
          <c:x val="2.0696147158820344E-2"/>
          <c:y val="8.7719298245614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857662023016354"/>
          <c:y val="0.31448093659345211"/>
          <c:w val="0.48352286493034524"/>
          <c:h val="0.636823801630059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Pitkä_aikaväli!$B$91</c:f>
              <c:strCache>
                <c:ptCount val="1"/>
                <c:pt idx="0">
                  <c:v>Pessimistinen arvio</c:v>
                </c:pt>
              </c:strCache>
            </c:strRef>
          </c:tx>
          <c:invertIfNegative val="0"/>
          <c:cat>
            <c:numRef>
              <c:f>Pitkä_aikaväli!$C$90:$H$90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Pitkä_aikaväli!$C$91:$H$91</c:f>
              <c:numCache>
                <c:formatCode>0.00</c:formatCode>
                <c:ptCount val="6"/>
                <c:pt idx="0">
                  <c:v>-9.0714764685911456E-2</c:v>
                </c:pt>
                <c:pt idx="1">
                  <c:v>-0.60731761988437394</c:v>
                </c:pt>
                <c:pt idx="2">
                  <c:v>-14.745110132548639</c:v>
                </c:pt>
                <c:pt idx="3">
                  <c:v>-49.113320227273405</c:v>
                </c:pt>
                <c:pt idx="4">
                  <c:v>-246.76901795772577</c:v>
                </c:pt>
                <c:pt idx="5">
                  <c:v>-410.28803500570018</c:v>
                </c:pt>
              </c:numCache>
            </c:numRef>
          </c:val>
        </c:ser>
        <c:ser>
          <c:idx val="1"/>
          <c:order val="1"/>
          <c:tx>
            <c:strRef>
              <c:f>Pitkä_aikaväli!$B$92</c:f>
              <c:strCache>
                <c:ptCount val="1"/>
                <c:pt idx="0">
                  <c:v>Neutraali arvio</c:v>
                </c:pt>
              </c:strCache>
            </c:strRef>
          </c:tx>
          <c:invertIfNegative val="0"/>
          <c:cat>
            <c:numRef>
              <c:f>Pitkä_aikaväli!$C$90:$H$90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Pitkä_aikaväli!$C$92:$H$92</c:f>
              <c:numCache>
                <c:formatCode>0.00</c:formatCode>
                <c:ptCount val="6"/>
                <c:pt idx="0">
                  <c:v>-1.975510775570255E-2</c:v>
                </c:pt>
                <c:pt idx="1">
                  <c:v>-0.30083216722718975</c:v>
                </c:pt>
                <c:pt idx="2">
                  <c:v>-12.533690559825985</c:v>
                </c:pt>
                <c:pt idx="3">
                  <c:v>-37.832819681035161</c:v>
                </c:pt>
                <c:pt idx="4">
                  <c:v>-156.62669046111839</c:v>
                </c:pt>
                <c:pt idx="5">
                  <c:v>-254.30479357470085</c:v>
                </c:pt>
              </c:numCache>
            </c:numRef>
          </c:val>
        </c:ser>
        <c:ser>
          <c:idx val="2"/>
          <c:order val="2"/>
          <c:tx>
            <c:strRef>
              <c:f>Pitkä_aikaväli!$B$93</c:f>
              <c:strCache>
                <c:ptCount val="1"/>
                <c:pt idx="0">
                  <c:v>Optimistinen arvio</c:v>
                </c:pt>
              </c:strCache>
            </c:strRef>
          </c:tx>
          <c:invertIfNegative val="0"/>
          <c:cat>
            <c:numRef>
              <c:f>Pitkä_aikaväli!$C$90:$H$90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Pitkä_aikaväli!$C$93:$H$93</c:f>
              <c:numCache>
                <c:formatCode>0.00</c:formatCode>
                <c:ptCount val="6"/>
                <c:pt idx="0">
                  <c:v>-2.725034913640513E-2</c:v>
                </c:pt>
                <c:pt idx="1">
                  <c:v>-0.41497022895437941</c:v>
                </c:pt>
                <c:pt idx="2">
                  <c:v>-18.295681316881762</c:v>
                </c:pt>
                <c:pt idx="3">
                  <c:v>-57.803546342028739</c:v>
                </c:pt>
                <c:pt idx="4">
                  <c:v>-215.76773593771998</c:v>
                </c:pt>
                <c:pt idx="5">
                  <c:v>-397.76439071971629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774272"/>
        <c:axId val="38776192"/>
      </c:barChart>
      <c:catAx>
        <c:axId val="3877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/>
                </a:pPr>
                <a:r>
                  <a:rPr lang="fi-FI" sz="1000" b="1" i="0" baseline="0">
                    <a:effectLst/>
                  </a:rPr>
                  <a:t>Kutsuplus-ajoneuvojen määrä</a:t>
                </a:r>
                <a:endParaRPr lang="fi-FI" sz="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3146779729456896"/>
              <c:y val="0.14822351153474239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crossAx val="38776192"/>
        <c:crosses val="autoZero"/>
        <c:auto val="1"/>
        <c:lblAlgn val="ctr"/>
        <c:lblOffset val="100"/>
        <c:noMultiLvlLbl val="0"/>
      </c:catAx>
      <c:valAx>
        <c:axId val="38776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Miljoonaa euroa / vuosi</a:t>
                </a:r>
              </a:p>
            </c:rich>
          </c:tx>
          <c:layout>
            <c:manualLayout>
              <c:xMode val="edge"/>
              <c:yMode val="edge"/>
              <c:x val="2.7777716596614238E-2"/>
              <c:y val="0.3564801768200027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8774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152029073288916"/>
          <c:y val="0.27257217847769027"/>
          <c:w val="0.22021694840592479"/>
          <c:h val="0.528442119077220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Pitkän aikavälin säästöpotentiaali (neutraali skenaario)</a:t>
            </a:r>
          </a:p>
        </c:rich>
      </c:tx>
      <c:layout>
        <c:manualLayout>
          <c:xMode val="edge"/>
          <c:yMode val="edge"/>
          <c:x val="0.11524131692715121"/>
          <c:y val="2.17155266015200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97960777257754"/>
          <c:y val="0.23879674868350251"/>
          <c:w val="0.42696709368940194"/>
          <c:h val="0.71298367790142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Pitkä_aikaväli!$L$65</c:f>
              <c:strCache>
                <c:ptCount val="1"/>
                <c:pt idx="0">
                  <c:v>Onnettomuuskustannukset, milj. € / vuosi</c:v>
                </c:pt>
              </c:strCache>
            </c:strRef>
          </c:tx>
          <c:invertIfNegative val="0"/>
          <c:cat>
            <c:numRef>
              <c:f>Pitkä_aikaväli!$M$64:$R$64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Pitkä_aikaväli!$M$65:$R$65</c:f>
              <c:numCache>
                <c:formatCode>#,##0.00</c:formatCode>
                <c:ptCount val="6"/>
                <c:pt idx="0">
                  <c:v>-2.1463573037580001E-2</c:v>
                </c:pt>
                <c:pt idx="1">
                  <c:v>-0.26642874715799403</c:v>
                </c:pt>
                <c:pt idx="2">
                  <c:v>-0.13882708540799935</c:v>
                </c:pt>
                <c:pt idx="3">
                  <c:v>5.839062176591999</c:v>
                </c:pt>
                <c:pt idx="4">
                  <c:v>56.413247202395993</c:v>
                </c:pt>
                <c:pt idx="5">
                  <c:v>99.26031137393278</c:v>
                </c:pt>
              </c:numCache>
            </c:numRef>
          </c:val>
        </c:ser>
        <c:ser>
          <c:idx val="3"/>
          <c:order val="1"/>
          <c:tx>
            <c:strRef>
              <c:f>Pitkä_aikaväli!$L$66</c:f>
              <c:strCache>
                <c:ptCount val="1"/>
                <c:pt idx="0">
                  <c:v>Ympäristökustannukset, milj. € / vuosi</c:v>
                </c:pt>
              </c:strCache>
            </c:strRef>
          </c:tx>
          <c:invertIfNegative val="0"/>
          <c:cat>
            <c:numRef>
              <c:f>Pitkä_aikaväli!$M$64:$R$64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Pitkä_aikaväli!$M$66:$R$66</c:f>
              <c:numCache>
                <c:formatCode>#,##0.00</c:formatCode>
                <c:ptCount val="6"/>
                <c:pt idx="0">
                  <c:v>-1.3182997975804691E-2</c:v>
                </c:pt>
                <c:pt idx="1">
                  <c:v>-0.17553771173151902</c:v>
                </c:pt>
                <c:pt idx="2">
                  <c:v>-2.4462477959400006</c:v>
                </c:pt>
                <c:pt idx="3">
                  <c:v>-4.8015990696329993</c:v>
                </c:pt>
                <c:pt idx="4">
                  <c:v>-7.2031187759850006</c:v>
                </c:pt>
                <c:pt idx="5">
                  <c:v>-9.3400090800720044</c:v>
                </c:pt>
              </c:numCache>
            </c:numRef>
          </c:val>
        </c:ser>
        <c:ser>
          <c:idx val="2"/>
          <c:order val="2"/>
          <c:tx>
            <c:strRef>
              <c:f>Pitkä_aikaväli!$L$67</c:f>
              <c:strCache>
                <c:ptCount val="1"/>
                <c:pt idx="0">
                  <c:v>Päällysteiden kulumisen kustannukset, milj. € / vuosi</c:v>
                </c:pt>
              </c:strCache>
            </c:strRef>
          </c:tx>
          <c:invertIfNegative val="0"/>
          <c:cat>
            <c:numRef>
              <c:f>Pitkä_aikaväli!$M$64:$R$64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Pitkä_aikaväli!$M$67:$R$67</c:f>
              <c:numCache>
                <c:formatCode>#,##0.00</c:formatCode>
                <c:ptCount val="6"/>
                <c:pt idx="0">
                  <c:v>-1.4218917187499998E-3</c:v>
                </c:pt>
                <c:pt idx="1">
                  <c:v>-1.8390331732499998E-2</c:v>
                </c:pt>
                <c:pt idx="2">
                  <c:v>-0.18763919999999998</c:v>
                </c:pt>
                <c:pt idx="3">
                  <c:v>-0.24862193999999999</c:v>
                </c:pt>
                <c:pt idx="4">
                  <c:v>0.59695019999999999</c:v>
                </c:pt>
                <c:pt idx="5">
                  <c:v>1.3166630399999999</c:v>
                </c:pt>
              </c:numCache>
            </c:numRef>
          </c:val>
        </c:ser>
        <c:ser>
          <c:idx val="1"/>
          <c:order val="3"/>
          <c:tx>
            <c:strRef>
              <c:f>Pitkä_aikaväli!$L$68</c:f>
              <c:strCache>
                <c:ptCount val="1"/>
                <c:pt idx="0">
                  <c:v>Pysäköintipaikkojen rakentamis-kustannukset, milj. € / vuosi</c:v>
                </c:pt>
              </c:strCache>
            </c:strRef>
          </c:tx>
          <c:invertIfNegative val="0"/>
          <c:cat>
            <c:numRef>
              <c:f>Pitkä_aikaväli!$M$64:$R$64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Pitkä_aikaväli!$M$68:$R$68</c:f>
              <c:numCache>
                <c:formatCode>#,##0.00</c:formatCode>
                <c:ptCount val="6"/>
                <c:pt idx="0">
                  <c:v>7.1999999999999995E-2</c:v>
                </c:pt>
                <c:pt idx="1">
                  <c:v>0.48</c:v>
                </c:pt>
                <c:pt idx="2">
                  <c:v>7.2</c:v>
                </c:pt>
                <c:pt idx="3">
                  <c:v>14.4</c:v>
                </c:pt>
                <c:pt idx="4">
                  <c:v>54</c:v>
                </c:pt>
                <c:pt idx="5">
                  <c:v>86.4</c:v>
                </c:pt>
              </c:numCache>
            </c:numRef>
          </c:val>
        </c:ser>
        <c:ser>
          <c:idx val="4"/>
          <c:order val="4"/>
          <c:tx>
            <c:strRef>
              <c:f>Pitkä_aikaväli!$L$69</c:f>
              <c:strCache>
                <c:ptCount val="1"/>
                <c:pt idx="0">
                  <c:v>Pysäköintipaikkojen tilankäyttö, milj. € / vuosi</c:v>
                </c:pt>
              </c:strCache>
            </c:strRef>
          </c:tx>
          <c:invertIfNegative val="0"/>
          <c:cat>
            <c:numRef>
              <c:f>Pitkä_aikaväli!$M$64:$R$64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Pitkä_aikaväli!$M$69:$R$69</c:f>
              <c:numCache>
                <c:formatCode>#,##0.00</c:formatCode>
                <c:ptCount val="6"/>
                <c:pt idx="0">
                  <c:v>2.8799999999999999E-2</c:v>
                </c:pt>
                <c:pt idx="1">
                  <c:v>0.192</c:v>
                </c:pt>
                <c:pt idx="2">
                  <c:v>2.88</c:v>
                </c:pt>
                <c:pt idx="3">
                  <c:v>5.76</c:v>
                </c:pt>
                <c:pt idx="4">
                  <c:v>21.6</c:v>
                </c:pt>
                <c:pt idx="5">
                  <c:v>34.56</c:v>
                </c:pt>
              </c:numCache>
            </c:numRef>
          </c:val>
        </c:ser>
        <c:ser>
          <c:idx val="5"/>
          <c:order val="5"/>
          <c:tx>
            <c:strRef>
              <c:f>Pitkä_aikaväli!$L$70</c:f>
              <c:strCache>
                <c:ptCount val="1"/>
                <c:pt idx="0">
                  <c:v>Tehottoman ajankäytön väheneminen, milj. € / vuosi</c:v>
                </c:pt>
              </c:strCache>
            </c:strRef>
          </c:tx>
          <c:invertIfNegative val="0"/>
          <c:cat>
            <c:numRef>
              <c:f>Pitkä_aikaväli!$M$64:$R$64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Pitkä_aikaväli!$M$70:$R$70</c:f>
              <c:numCache>
                <c:formatCode>#,##0.00</c:formatCode>
                <c:ptCount val="6"/>
                <c:pt idx="0">
                  <c:v>4.5738335173748701E-2</c:v>
                </c:pt>
                <c:pt idx="1">
                  <c:v>0.69650657773357671</c:v>
                </c:pt>
                <c:pt idx="2">
                  <c:v>19.971514773722625</c:v>
                </c:pt>
                <c:pt idx="3">
                  <c:v>52.924514150364963</c:v>
                </c:pt>
                <c:pt idx="4">
                  <c:v>240.0280201508516</c:v>
                </c:pt>
                <c:pt idx="5">
                  <c:v>397.06330113090024</c:v>
                </c:pt>
              </c:numCache>
            </c:numRef>
          </c:val>
        </c:ser>
        <c:ser>
          <c:idx val="6"/>
          <c:order val="6"/>
          <c:tx>
            <c:strRef>
              <c:f>Pitkä_aikaväli!$L$71</c:f>
              <c:strCache>
                <c:ptCount val="1"/>
                <c:pt idx="0">
                  <c:v>Reuna-alueiden joukkoliikenteen säästöt, milj. € / vuosi</c:v>
                </c:pt>
              </c:strCache>
            </c:strRef>
          </c:tx>
          <c:invertIfNegative val="0"/>
          <c:cat>
            <c:numRef>
              <c:f>Pitkä_aikaväli!$M$64:$R$64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Pitkä_aikaväli!$M$71:$R$71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2.5698999755999998</c:v>
                </c:pt>
                <c:pt idx="4">
                  <c:v>4.3234681812</c:v>
                </c:pt>
                <c:pt idx="5">
                  <c:v>6.4852022718000004</c:v>
                </c:pt>
              </c:numCache>
            </c:numRef>
          </c:val>
        </c:ser>
        <c:ser>
          <c:idx val="7"/>
          <c:order val="7"/>
          <c:tx>
            <c:strRef>
              <c:f>Pitkä_aikaväli!$L$72</c:f>
              <c:strCache>
                <c:ptCount val="1"/>
                <c:pt idx="0">
                  <c:v>Bussiliikenteen yleisen vähentämisen säästöt, milj. € / vuosi</c:v>
                </c:pt>
              </c:strCache>
            </c:strRef>
          </c:tx>
          <c:invertIfNegative val="0"/>
          <c:cat>
            <c:numRef>
              <c:f>Pitkä_aikaväli!$M$64:$R$64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Pitkä_aikaväli!$M$72:$R$72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8.2236799219200005</c:v>
                </c:pt>
                <c:pt idx="5">
                  <c:v>16.447359843840001</c:v>
                </c:pt>
              </c:numCache>
            </c:numRef>
          </c:val>
        </c:ser>
        <c:ser>
          <c:idx val="8"/>
          <c:order val="8"/>
          <c:tx>
            <c:strRef>
              <c:f>Pitkä_aikaväli!$L$73</c:f>
              <c:strCache>
                <c:ptCount val="1"/>
                <c:pt idx="0">
                  <c:v>Palvelulinjojen säästöt, milj. € / vuosi</c:v>
                </c:pt>
              </c:strCache>
            </c:strRef>
          </c:tx>
          <c:invertIfNegative val="0"/>
          <c:cat>
            <c:numRef>
              <c:f>Pitkä_aikaväli!$M$64:$R$64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Pitkä_aikaväli!$M$73:$R$73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1.6875</c:v>
                </c:pt>
                <c:pt idx="4">
                  <c:v>3.375</c:v>
                </c:pt>
                <c:pt idx="5">
                  <c:v>3.75</c:v>
                </c:pt>
              </c:numCache>
            </c:numRef>
          </c:val>
        </c:ser>
        <c:ser>
          <c:idx val="9"/>
          <c:order val="9"/>
          <c:tx>
            <c:strRef>
              <c:f>Pitkä_aikaväli!$L$74</c:f>
              <c:strCache>
                <c:ptCount val="1"/>
                <c:pt idx="0">
                  <c:v>Tieinvestoinnit, milj. € / vuosi</c:v>
                </c:pt>
              </c:strCache>
            </c:strRef>
          </c:tx>
          <c:invertIfNegative val="0"/>
          <c:cat>
            <c:numRef>
              <c:f>Pitkä_aikaväli!$M$64:$R$64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Pitkä_aikaväli!$M$74:$R$74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8.815384615384616</c:v>
                </c:pt>
                <c:pt idx="4">
                  <c:v>22.03846153846154</c:v>
                </c:pt>
                <c:pt idx="5">
                  <c:v>28.65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14048"/>
        <c:axId val="38524416"/>
      </c:barChart>
      <c:catAx>
        <c:axId val="3851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/>
                </a:pPr>
                <a:r>
                  <a:rPr lang="fi-FI" sz="1000" b="1" i="0" baseline="0">
                    <a:effectLst/>
                  </a:rPr>
                  <a:t>Kutsuplus-ajoneuvojen määrä</a:t>
                </a:r>
                <a:endParaRPr lang="fi-FI" sz="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653657352661384"/>
              <c:y val="0.12291570227340831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crossAx val="38524416"/>
        <c:crosses val="autoZero"/>
        <c:auto val="1"/>
        <c:lblAlgn val="ctr"/>
        <c:lblOffset val="100"/>
        <c:noMultiLvlLbl val="0"/>
      </c:catAx>
      <c:valAx>
        <c:axId val="38524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Miljoonaa euroa / vuosi</a:t>
                </a:r>
              </a:p>
            </c:rich>
          </c:tx>
          <c:layout>
            <c:manualLayout>
              <c:xMode val="edge"/>
              <c:yMode val="edge"/>
              <c:x val="1.075881114648743E-2"/>
              <c:y val="0.3135809966449486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851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970124339593075"/>
          <c:y val="0.11056529898895685"/>
          <c:w val="0.41174000308548514"/>
          <c:h val="0.8894347010110431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 baseline="0"/>
              <a:t>Vaihteluväli, pitkän aikavälin säästöpotentiaali</a:t>
            </a:r>
            <a:endParaRPr lang="fi-FI" sz="1200"/>
          </a:p>
        </c:rich>
      </c:tx>
      <c:layout>
        <c:manualLayout>
          <c:xMode val="edge"/>
          <c:yMode val="edge"/>
          <c:x val="2.0696147158820344E-2"/>
          <c:y val="8.7719298245614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383303048657381"/>
          <c:y val="0.27500725238292584"/>
          <c:w val="0.448266454673935"/>
          <c:h val="0.676297485840585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Pitkä_aikaväli!$B$91</c:f>
              <c:strCache>
                <c:ptCount val="1"/>
                <c:pt idx="0">
                  <c:v>Pessimistinen arvio</c:v>
                </c:pt>
              </c:strCache>
            </c:strRef>
          </c:tx>
          <c:invertIfNegative val="0"/>
          <c:cat>
            <c:numRef>
              <c:f>Pitkä_aikaväli!$M$90:$R$90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Pitkä_aikaväli!$M$91:$R$91</c:f>
              <c:numCache>
                <c:formatCode>0.00</c:formatCode>
                <c:ptCount val="6"/>
                <c:pt idx="0">
                  <c:v>9.0714764685911456E-2</c:v>
                </c:pt>
                <c:pt idx="1">
                  <c:v>0.60731761988437394</c:v>
                </c:pt>
                <c:pt idx="2">
                  <c:v>14.745110132548639</c:v>
                </c:pt>
                <c:pt idx="3">
                  <c:v>49.113320227273405</c:v>
                </c:pt>
                <c:pt idx="4">
                  <c:v>246.76901795772577</c:v>
                </c:pt>
                <c:pt idx="5">
                  <c:v>410.28803500570018</c:v>
                </c:pt>
              </c:numCache>
            </c:numRef>
          </c:val>
        </c:ser>
        <c:ser>
          <c:idx val="1"/>
          <c:order val="1"/>
          <c:tx>
            <c:strRef>
              <c:f>Pitkä_aikaväli!$B$92</c:f>
              <c:strCache>
                <c:ptCount val="1"/>
                <c:pt idx="0">
                  <c:v>Neutraali arvio</c:v>
                </c:pt>
              </c:strCache>
            </c:strRef>
          </c:tx>
          <c:invertIfNegative val="0"/>
          <c:cat>
            <c:numRef>
              <c:f>Pitkä_aikaväli!$M$90:$R$90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Pitkä_aikaväli!$M$92:$R$92</c:f>
              <c:numCache>
                <c:formatCode>0.00</c:formatCode>
                <c:ptCount val="6"/>
                <c:pt idx="0">
                  <c:v>1.975510775570255E-2</c:v>
                </c:pt>
                <c:pt idx="1">
                  <c:v>0.30083216722718975</c:v>
                </c:pt>
                <c:pt idx="2">
                  <c:v>12.533690559825985</c:v>
                </c:pt>
                <c:pt idx="3">
                  <c:v>37.832819681035161</c:v>
                </c:pt>
                <c:pt idx="4">
                  <c:v>156.62669046111839</c:v>
                </c:pt>
                <c:pt idx="5">
                  <c:v>254.30479357470085</c:v>
                </c:pt>
              </c:numCache>
            </c:numRef>
          </c:val>
        </c:ser>
        <c:ser>
          <c:idx val="2"/>
          <c:order val="2"/>
          <c:tx>
            <c:strRef>
              <c:f>Pitkä_aikaväli!$B$93</c:f>
              <c:strCache>
                <c:ptCount val="1"/>
                <c:pt idx="0">
                  <c:v>Optimistinen arvio</c:v>
                </c:pt>
              </c:strCache>
            </c:strRef>
          </c:tx>
          <c:invertIfNegative val="0"/>
          <c:cat>
            <c:numRef>
              <c:f>Pitkä_aikaväli!$M$90:$R$90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Pitkä_aikaväli!$M$93:$R$93</c:f>
              <c:numCache>
                <c:formatCode>0.00</c:formatCode>
                <c:ptCount val="6"/>
                <c:pt idx="0">
                  <c:v>2.725034913640513E-2</c:v>
                </c:pt>
                <c:pt idx="1">
                  <c:v>0.41497022895437941</c:v>
                </c:pt>
                <c:pt idx="2">
                  <c:v>18.295681316881762</c:v>
                </c:pt>
                <c:pt idx="3">
                  <c:v>57.803546342028739</c:v>
                </c:pt>
                <c:pt idx="4">
                  <c:v>215.76773593771998</c:v>
                </c:pt>
                <c:pt idx="5">
                  <c:v>397.76439071971629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66336"/>
        <c:axId val="39168256"/>
      </c:barChart>
      <c:catAx>
        <c:axId val="3916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/>
                </a:pPr>
                <a:r>
                  <a:rPr lang="fi-FI" sz="1000" b="1" i="0" baseline="0">
                    <a:effectLst/>
                  </a:rPr>
                  <a:t>Kutsuplus-ajoneuvojen määrä</a:t>
                </a:r>
                <a:endParaRPr lang="fi-FI" sz="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6290202907328891"/>
              <c:y val="0.12190772206105815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crossAx val="39168256"/>
        <c:crosses val="autoZero"/>
        <c:auto val="1"/>
        <c:lblAlgn val="ctr"/>
        <c:lblOffset val="100"/>
        <c:noMultiLvlLbl val="0"/>
      </c:catAx>
      <c:valAx>
        <c:axId val="39168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Miljoonaa euroa / vuosi</a:t>
                </a:r>
              </a:p>
            </c:rich>
          </c:tx>
          <c:layout>
            <c:manualLayout>
              <c:xMode val="edge"/>
              <c:yMode val="edge"/>
              <c:x val="2.7777716596614238E-2"/>
              <c:y val="0.3564801768200027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166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152029073288916"/>
          <c:y val="0.27257217847769027"/>
          <c:w val="0.22021694840592479"/>
          <c:h val="0.528442119077220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Pitkän aikavälin säästöpotentiaali (neutraali skenaario)</a:t>
            </a:r>
          </a:p>
        </c:rich>
      </c:tx>
      <c:layout>
        <c:manualLayout>
          <c:xMode val="edge"/>
          <c:yMode val="edge"/>
          <c:x val="0.11524131692715121"/>
          <c:y val="2.17155266015200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97960777257754"/>
          <c:y val="0.24745541313314709"/>
          <c:w val="0.42696709368940194"/>
          <c:h val="0.70432534490018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'Pitkä_aikaväli+ShL_VpL'!$B$33</c:f>
              <c:strCache>
                <c:ptCount val="1"/>
                <c:pt idx="0">
                  <c:v>Onnettomuuskustannukset, milj. € / vuosi</c:v>
                </c:pt>
              </c:strCache>
            </c:strRef>
          </c:tx>
          <c:invertIfNegative val="0"/>
          <c:cat>
            <c:numRef>
              <c:f>'Pitkä_aikaväli+ShL_VpL'!$C$32:$H$32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'Pitkä_aikaväli+ShL_VpL'!$C$33:$H$33</c:f>
              <c:numCache>
                <c:formatCode>#,##0.00</c:formatCode>
                <c:ptCount val="6"/>
                <c:pt idx="0">
                  <c:v>2.1463573037580001E-2</c:v>
                </c:pt>
                <c:pt idx="1">
                  <c:v>0.26642874715799403</c:v>
                </c:pt>
                <c:pt idx="2">
                  <c:v>0.13882708540799935</c:v>
                </c:pt>
                <c:pt idx="3">
                  <c:v>-5.839062176591999</c:v>
                </c:pt>
                <c:pt idx="4">
                  <c:v>-56.413247202395993</c:v>
                </c:pt>
                <c:pt idx="5">
                  <c:v>-99.26031137393278</c:v>
                </c:pt>
              </c:numCache>
            </c:numRef>
          </c:val>
        </c:ser>
        <c:ser>
          <c:idx val="3"/>
          <c:order val="1"/>
          <c:tx>
            <c:strRef>
              <c:f>'Pitkä_aikaväli+ShL_VpL'!$B$34</c:f>
              <c:strCache>
                <c:ptCount val="1"/>
                <c:pt idx="0">
                  <c:v>Ympäristökustannukset, milj. € / vuosi</c:v>
                </c:pt>
              </c:strCache>
            </c:strRef>
          </c:tx>
          <c:invertIfNegative val="0"/>
          <c:cat>
            <c:numRef>
              <c:f>'Pitkä_aikaväli+ShL_VpL'!$C$32:$H$32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'Pitkä_aikaväli+ShL_VpL'!$C$34:$H$34</c:f>
              <c:numCache>
                <c:formatCode>#,##0.00</c:formatCode>
                <c:ptCount val="6"/>
                <c:pt idx="0">
                  <c:v>1.3182997975804691E-2</c:v>
                </c:pt>
                <c:pt idx="1">
                  <c:v>0.17553771173151902</c:v>
                </c:pt>
                <c:pt idx="2">
                  <c:v>2.4462477959400006</c:v>
                </c:pt>
                <c:pt idx="3">
                  <c:v>4.8015990696329993</c:v>
                </c:pt>
                <c:pt idx="4">
                  <c:v>7.2031187759850006</c:v>
                </c:pt>
                <c:pt idx="5">
                  <c:v>9.3400090800720044</c:v>
                </c:pt>
              </c:numCache>
            </c:numRef>
          </c:val>
        </c:ser>
        <c:ser>
          <c:idx val="2"/>
          <c:order val="2"/>
          <c:tx>
            <c:strRef>
              <c:f>'Pitkä_aikaväli+ShL_VpL'!$B$35</c:f>
              <c:strCache>
                <c:ptCount val="1"/>
                <c:pt idx="0">
                  <c:v>Päällysteiden kulumisen kustannukset, milj. € / vuosi</c:v>
                </c:pt>
              </c:strCache>
            </c:strRef>
          </c:tx>
          <c:invertIfNegative val="0"/>
          <c:cat>
            <c:numRef>
              <c:f>'Pitkä_aikaväli+ShL_VpL'!$C$32:$H$32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'Pitkä_aikaväli+ShL_VpL'!$C$35:$H$35</c:f>
              <c:numCache>
                <c:formatCode>#,##0.00</c:formatCode>
                <c:ptCount val="6"/>
                <c:pt idx="0">
                  <c:v>1.4218917187499998E-3</c:v>
                </c:pt>
                <c:pt idx="1">
                  <c:v>1.8390331732499998E-2</c:v>
                </c:pt>
                <c:pt idx="2">
                  <c:v>0.18763919999999998</c:v>
                </c:pt>
                <c:pt idx="3">
                  <c:v>0.24862193999999999</c:v>
                </c:pt>
                <c:pt idx="4">
                  <c:v>-0.59695019999999999</c:v>
                </c:pt>
                <c:pt idx="5">
                  <c:v>-1.3166630399999999</c:v>
                </c:pt>
              </c:numCache>
            </c:numRef>
          </c:val>
        </c:ser>
        <c:ser>
          <c:idx val="1"/>
          <c:order val="3"/>
          <c:tx>
            <c:strRef>
              <c:f>'Pitkä_aikaväli+ShL_VpL'!$B$36</c:f>
              <c:strCache>
                <c:ptCount val="1"/>
                <c:pt idx="0">
                  <c:v>Pysäköintipaikkojen rakentamis-kustannukset, milj. € / vuosi</c:v>
                </c:pt>
              </c:strCache>
            </c:strRef>
          </c:tx>
          <c:invertIfNegative val="0"/>
          <c:cat>
            <c:numRef>
              <c:f>'Pitkä_aikaväli+ShL_VpL'!$C$32:$H$32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'Pitkä_aikaväli+ShL_VpL'!$C$36:$H$36</c:f>
              <c:numCache>
                <c:formatCode>#,##0.00</c:formatCode>
                <c:ptCount val="6"/>
                <c:pt idx="0">
                  <c:v>-7.1999999999999995E-2</c:v>
                </c:pt>
                <c:pt idx="1">
                  <c:v>-0.48</c:v>
                </c:pt>
                <c:pt idx="2">
                  <c:v>-7.2</c:v>
                </c:pt>
                <c:pt idx="3">
                  <c:v>-14.4</c:v>
                </c:pt>
                <c:pt idx="4">
                  <c:v>-54</c:v>
                </c:pt>
                <c:pt idx="5">
                  <c:v>-86.4</c:v>
                </c:pt>
              </c:numCache>
            </c:numRef>
          </c:val>
        </c:ser>
        <c:ser>
          <c:idx val="4"/>
          <c:order val="4"/>
          <c:tx>
            <c:strRef>
              <c:f>'Pitkä_aikaväli+ShL_VpL'!$B$37</c:f>
              <c:strCache>
                <c:ptCount val="1"/>
                <c:pt idx="0">
                  <c:v>Pysäköintipaikkojen tilankäyttö, milj. € / vuosi</c:v>
                </c:pt>
              </c:strCache>
            </c:strRef>
          </c:tx>
          <c:invertIfNegative val="0"/>
          <c:cat>
            <c:numRef>
              <c:f>'Pitkä_aikaväli+ShL_VpL'!$C$32:$H$32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'Pitkä_aikaväli+ShL_VpL'!$C$37:$H$37</c:f>
              <c:numCache>
                <c:formatCode>#,##0.00</c:formatCode>
                <c:ptCount val="6"/>
                <c:pt idx="0">
                  <c:v>-2.8799999999999999E-2</c:v>
                </c:pt>
                <c:pt idx="1">
                  <c:v>-0.192</c:v>
                </c:pt>
                <c:pt idx="2">
                  <c:v>-2.88</c:v>
                </c:pt>
                <c:pt idx="3">
                  <c:v>-5.76</c:v>
                </c:pt>
                <c:pt idx="4">
                  <c:v>-21.6</c:v>
                </c:pt>
                <c:pt idx="5">
                  <c:v>-34.56</c:v>
                </c:pt>
              </c:numCache>
            </c:numRef>
          </c:val>
        </c:ser>
        <c:ser>
          <c:idx val="5"/>
          <c:order val="5"/>
          <c:tx>
            <c:strRef>
              <c:f>'Pitkä_aikaväli+ShL_VpL'!$B$38</c:f>
              <c:strCache>
                <c:ptCount val="1"/>
                <c:pt idx="0">
                  <c:v>Tehottoman ajankäytön väheneminen, milj. € / vuosi</c:v>
                </c:pt>
              </c:strCache>
            </c:strRef>
          </c:tx>
          <c:invertIfNegative val="0"/>
          <c:cat>
            <c:numRef>
              <c:f>'Pitkä_aikaväli+ShL_VpL'!$C$32:$H$32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'Pitkä_aikaväli+ShL_VpL'!$C$38:$H$38</c:f>
              <c:numCache>
                <c:formatCode>#,##0.00</c:formatCode>
                <c:ptCount val="6"/>
                <c:pt idx="0">
                  <c:v>-4.5738335173748701E-2</c:v>
                </c:pt>
                <c:pt idx="1">
                  <c:v>-0.69650657773357671</c:v>
                </c:pt>
                <c:pt idx="2">
                  <c:v>-19.971514773722625</c:v>
                </c:pt>
                <c:pt idx="3">
                  <c:v>-52.924514150364963</c:v>
                </c:pt>
                <c:pt idx="4">
                  <c:v>-240.0280201508516</c:v>
                </c:pt>
                <c:pt idx="5">
                  <c:v>-397.06330113090024</c:v>
                </c:pt>
              </c:numCache>
            </c:numRef>
          </c:val>
        </c:ser>
        <c:ser>
          <c:idx val="6"/>
          <c:order val="6"/>
          <c:tx>
            <c:strRef>
              <c:f>'Pitkä_aikaväli+ShL_VpL'!$B$39</c:f>
              <c:strCache>
                <c:ptCount val="1"/>
                <c:pt idx="0">
                  <c:v>Reuna-alueiden joukkoliikenteen säästöt, milj. € / vuosi</c:v>
                </c:pt>
              </c:strCache>
            </c:strRef>
          </c:tx>
          <c:invertIfNegative val="0"/>
          <c:cat>
            <c:numRef>
              <c:f>'Pitkä_aikaväli+ShL_VpL'!$C$32:$H$32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'Pitkä_aikaväli+ShL_VpL'!$C$39:$H$39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-2.5698999755999998</c:v>
                </c:pt>
                <c:pt idx="4">
                  <c:v>-4.3234681812</c:v>
                </c:pt>
                <c:pt idx="5">
                  <c:v>-6.4852022718000004</c:v>
                </c:pt>
              </c:numCache>
            </c:numRef>
          </c:val>
        </c:ser>
        <c:ser>
          <c:idx val="7"/>
          <c:order val="7"/>
          <c:tx>
            <c:strRef>
              <c:f>'Pitkä_aikaväli+ShL_VpL'!$B$40</c:f>
              <c:strCache>
                <c:ptCount val="1"/>
                <c:pt idx="0">
                  <c:v>Bussiliikenteen yleisen vähentämisen säästöt, milj. € / vuosi</c:v>
                </c:pt>
              </c:strCache>
            </c:strRef>
          </c:tx>
          <c:invertIfNegative val="0"/>
          <c:cat>
            <c:numRef>
              <c:f>'Pitkä_aikaväli+ShL_VpL'!$C$32:$H$32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'Pitkä_aikaväli+ShL_VpL'!$C$40:$H$40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-8.2236799219200005</c:v>
                </c:pt>
                <c:pt idx="5">
                  <c:v>-16.447359843840001</c:v>
                </c:pt>
              </c:numCache>
            </c:numRef>
          </c:val>
        </c:ser>
        <c:ser>
          <c:idx val="8"/>
          <c:order val="8"/>
          <c:tx>
            <c:strRef>
              <c:f>'Pitkä_aikaväli+ShL_VpL'!$B$41</c:f>
              <c:strCache>
                <c:ptCount val="1"/>
                <c:pt idx="0">
                  <c:v>Palvelulinjojen säästöt, milj. € / vuosi</c:v>
                </c:pt>
              </c:strCache>
            </c:strRef>
          </c:tx>
          <c:invertIfNegative val="0"/>
          <c:cat>
            <c:numRef>
              <c:f>'Pitkä_aikaväli+ShL_VpL'!$C$32:$H$32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'Pitkä_aikaväli+ShL_VpL'!$C$41:$H$41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-1.6875</c:v>
                </c:pt>
                <c:pt idx="4">
                  <c:v>-3.375</c:v>
                </c:pt>
                <c:pt idx="5">
                  <c:v>-3.75</c:v>
                </c:pt>
              </c:numCache>
            </c:numRef>
          </c:val>
        </c:ser>
        <c:ser>
          <c:idx val="9"/>
          <c:order val="9"/>
          <c:tx>
            <c:strRef>
              <c:f>'Pitkä_aikaväli+ShL_VpL'!$B$42</c:f>
              <c:strCache>
                <c:ptCount val="1"/>
                <c:pt idx="0">
                  <c:v>Tieinvestoinnit, milj. € / vuosi</c:v>
                </c:pt>
              </c:strCache>
            </c:strRef>
          </c:tx>
          <c:invertIfNegative val="0"/>
          <c:cat>
            <c:numRef>
              <c:f>'Pitkä_aikaväli+ShL_VpL'!$C$32:$H$32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'Pitkä_aikaväli+ShL_VpL'!$C$42:$H$42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-8.815384615384616</c:v>
                </c:pt>
                <c:pt idx="4">
                  <c:v>-22.03846153846154</c:v>
                </c:pt>
                <c:pt idx="5">
                  <c:v>-28.65</c:v>
                </c:pt>
              </c:numCache>
            </c:numRef>
          </c:val>
        </c:ser>
        <c:ser>
          <c:idx val="10"/>
          <c:order val="10"/>
          <c:tx>
            <c:strRef>
              <c:f>'Pitkä_aikaväli+ShL_VpL'!$B$43</c:f>
              <c:strCache>
                <c:ptCount val="1"/>
                <c:pt idx="0">
                  <c:v>VpL- ja ShL-kuljetuksista aiheutuvat säästöt, milj. €/v</c:v>
                </c:pt>
              </c:strCache>
            </c:strRef>
          </c:tx>
          <c:invertIfNegative val="0"/>
          <c:cat>
            <c:numRef>
              <c:f>'Pitkä_aikaväli+ShL_VpL'!$C$32:$H$32</c:f>
              <c:numCache>
                <c:formatCode>General</c:formatCode>
                <c:ptCount val="6"/>
                <c:pt idx="0">
                  <c:v>15</c:v>
                </c:pt>
                <c:pt idx="1">
                  <c:v>100</c:v>
                </c:pt>
                <c:pt idx="2">
                  <c:v>1000</c:v>
                </c:pt>
                <c:pt idx="3">
                  <c:v>2000</c:v>
                </c:pt>
                <c:pt idx="4">
                  <c:v>5000</c:v>
                </c:pt>
                <c:pt idx="5">
                  <c:v>8000</c:v>
                </c:pt>
              </c:numCache>
            </c:numRef>
          </c:cat>
          <c:val>
            <c:numRef>
              <c:f>'Pitkä_aikaväli+ShL_VpL'!$C$43:$H$43</c:f>
              <c:numCache>
                <c:formatCode>0.00</c:formatCode>
                <c:ptCount val="6"/>
                <c:pt idx="0">
                  <c:v>0</c:v>
                </c:pt>
                <c:pt idx="1">
                  <c:v>-9.9005998000000002</c:v>
                </c:pt>
                <c:pt idx="2">
                  <c:v>-24.751499500000001</c:v>
                </c:pt>
                <c:pt idx="3">
                  <c:v>-49.502999000000003</c:v>
                </c:pt>
                <c:pt idx="4">
                  <c:v>-49.502999000000003</c:v>
                </c:pt>
                <c:pt idx="5">
                  <c:v>-49.502999000000003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70528"/>
        <c:axId val="87272448"/>
      </c:barChart>
      <c:catAx>
        <c:axId val="8727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Kutsuplus-ajoneuvojen</a:t>
                </a:r>
                <a:r>
                  <a:rPr lang="fi-FI" baseline="0"/>
                  <a:t> määrä</a:t>
                </a:r>
                <a:endParaRPr lang="fi-FI"/>
              </a:p>
            </c:rich>
          </c:tx>
          <c:layout>
            <c:manualLayout>
              <c:xMode val="edge"/>
              <c:yMode val="edge"/>
              <c:x val="0.17674429437347924"/>
              <c:y val="0.11876021570127818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crossAx val="87272448"/>
        <c:crosses val="autoZero"/>
        <c:auto val="1"/>
        <c:lblAlgn val="ctr"/>
        <c:lblOffset val="100"/>
        <c:noMultiLvlLbl val="0"/>
      </c:catAx>
      <c:valAx>
        <c:axId val="87272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Miljoonaa euroa / vuosi</a:t>
                </a:r>
              </a:p>
            </c:rich>
          </c:tx>
          <c:layout>
            <c:manualLayout>
              <c:xMode val="edge"/>
              <c:yMode val="edge"/>
              <c:x val="1.075881114648743E-2"/>
              <c:y val="0.3135809966449486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727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970124339593075"/>
          <c:y val="0.11056529898895685"/>
          <c:w val="0.43466917937086225"/>
          <c:h val="0.874190950416777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86</xdr:row>
      <xdr:rowOff>152400</xdr:rowOff>
    </xdr:from>
    <xdr:to>
      <xdr:col>8</xdr:col>
      <xdr:colOff>9525</xdr:colOff>
      <xdr:row>87</xdr:row>
      <xdr:rowOff>95250</xdr:rowOff>
    </xdr:to>
    <xdr:cxnSp macro="">
      <xdr:nvCxnSpPr>
        <xdr:cNvPr id="3" name="Straight Arrow Connector 2"/>
        <xdr:cNvCxnSpPr/>
      </xdr:nvCxnSpPr>
      <xdr:spPr>
        <a:xfrm flipV="1">
          <a:off x="8839200" y="17125950"/>
          <a:ext cx="70485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89</xdr:row>
      <xdr:rowOff>123825</xdr:rowOff>
    </xdr:from>
    <xdr:to>
      <xdr:col>7</xdr:col>
      <xdr:colOff>781050</xdr:colOff>
      <xdr:row>90</xdr:row>
      <xdr:rowOff>133350</xdr:rowOff>
    </xdr:to>
    <xdr:cxnSp macro="">
      <xdr:nvCxnSpPr>
        <xdr:cNvPr id="4" name="Straight Arrow Connector 3"/>
        <xdr:cNvCxnSpPr/>
      </xdr:nvCxnSpPr>
      <xdr:spPr>
        <a:xfrm flipV="1">
          <a:off x="7734300" y="17668875"/>
          <a:ext cx="1790700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0.23534</cdr:x>
      <cdr:y>0.72698</cdr:y>
    </cdr:from>
    <cdr:to>
      <cdr:x>0.43534</cdr:x>
      <cdr:y>0.84156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32520" y="2105037"/>
          <a:ext cx="792480" cy="331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1000"/>
            <a:t>Hyödyt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71438</xdr:colOff>
      <xdr:row>46</xdr:row>
      <xdr:rowOff>95249</xdr:rowOff>
    </xdr:from>
    <xdr:to>
      <xdr:col>2</xdr:col>
      <xdr:colOff>1104900</xdr:colOff>
      <xdr:row>65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733425</xdr:colOff>
      <xdr:row>53</xdr:row>
      <xdr:rowOff>114300</xdr:rowOff>
    </xdr:from>
    <xdr:ext cx="558614" cy="248851"/>
    <xdr:sp macro="" textlink="">
      <xdr:nvSpPr>
        <xdr:cNvPr id="3" name="TextBox 2"/>
        <xdr:cNvSpPr txBox="1"/>
      </xdr:nvSpPr>
      <xdr:spPr>
        <a:xfrm>
          <a:off x="2057400" y="10401300"/>
          <a:ext cx="558614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000"/>
            <a:t>Hyödyt</a:t>
          </a:r>
        </a:p>
      </xdr:txBody>
    </xdr:sp>
    <xdr:clientData/>
  </xdr:oneCellAnchor>
  <xdr:twoCellAnchor>
    <xdr:from>
      <xdr:col>3</xdr:col>
      <xdr:colOff>1</xdr:colOff>
      <xdr:row>46</xdr:row>
      <xdr:rowOff>95250</xdr:rowOff>
    </xdr:from>
    <xdr:to>
      <xdr:col>7</xdr:col>
      <xdr:colOff>876301</xdr:colOff>
      <xdr:row>61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714375</xdr:colOff>
      <xdr:row>51</xdr:row>
      <xdr:rowOff>9525</xdr:rowOff>
    </xdr:from>
    <xdr:ext cx="890565" cy="248851"/>
    <xdr:sp macro="" textlink="">
      <xdr:nvSpPr>
        <xdr:cNvPr id="5" name="TextBox 4"/>
        <xdr:cNvSpPr txBox="1"/>
      </xdr:nvSpPr>
      <xdr:spPr>
        <a:xfrm>
          <a:off x="2038350" y="9915525"/>
          <a:ext cx="89056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000"/>
            <a:t>Kustannukset</a:t>
          </a:r>
          <a:endParaRPr lang="fi-FI" sz="1050"/>
        </a:p>
      </xdr:txBody>
    </xdr:sp>
    <xdr:clientData/>
  </xdr:oneCellAnchor>
  <xdr:twoCellAnchor>
    <xdr:from>
      <xdr:col>1</xdr:col>
      <xdr:colOff>38100</xdr:colOff>
      <xdr:row>67</xdr:row>
      <xdr:rowOff>47625</xdr:rowOff>
    </xdr:from>
    <xdr:to>
      <xdr:col>2</xdr:col>
      <xdr:colOff>1071562</xdr:colOff>
      <xdr:row>85</xdr:row>
      <xdr:rowOff>152401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1238250</xdr:colOff>
      <xdr:row>70</xdr:row>
      <xdr:rowOff>76200</xdr:rowOff>
    </xdr:from>
    <xdr:to>
      <xdr:col>7</xdr:col>
      <xdr:colOff>857250</xdr:colOff>
      <xdr:row>85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1038225</xdr:colOff>
      <xdr:row>65</xdr:row>
      <xdr:rowOff>114301</xdr:rowOff>
    </xdr:from>
    <xdr:to>
      <xdr:col>8</xdr:col>
      <xdr:colOff>514350</xdr:colOff>
      <xdr:row>86</xdr:row>
      <xdr:rowOff>152401</xdr:rowOff>
    </xdr:to>
    <xdr:sp macro="" textlink="">
      <xdr:nvSpPr>
        <xdr:cNvPr id="8" name="Rectangle 7"/>
        <xdr:cNvSpPr/>
      </xdr:nvSpPr>
      <xdr:spPr>
        <a:xfrm>
          <a:off x="1038225" y="11734801"/>
          <a:ext cx="10220325" cy="4229100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9</xdr:col>
      <xdr:colOff>533401</xdr:colOff>
      <xdr:row>62</xdr:row>
      <xdr:rowOff>95251</xdr:rowOff>
    </xdr:from>
    <xdr:to>
      <xdr:col>18</xdr:col>
      <xdr:colOff>304801</xdr:colOff>
      <xdr:row>99</xdr:row>
      <xdr:rowOff>104775</xdr:rowOff>
    </xdr:to>
    <xdr:sp macro="" textlink="">
      <xdr:nvSpPr>
        <xdr:cNvPr id="9" name="Rectangle 8"/>
        <xdr:cNvSpPr/>
      </xdr:nvSpPr>
      <xdr:spPr>
        <a:xfrm>
          <a:off x="11887201" y="11144251"/>
          <a:ext cx="8877300" cy="7248524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0.2089</cdr:x>
      <cdr:y>0.45724</cdr:y>
    </cdr:from>
    <cdr:to>
      <cdr:x>0.4089</cdr:x>
      <cdr:y>0.57182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7745" y="1323987"/>
          <a:ext cx="792480" cy="331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1000"/>
            <a:t>Hyödyt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0.13917</cdr:x>
      <cdr:y>0.6607</cdr:y>
    </cdr:from>
    <cdr:to>
      <cdr:x>0.24339</cdr:x>
      <cdr:y>0.72964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70833" y="2460629"/>
          <a:ext cx="577274" cy="25673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000"/>
            <a:t>Hyödyt</a:t>
          </a:r>
        </a:p>
      </cdr:txBody>
    </cdr:sp>
  </cdr:relSizeAnchor>
  <cdr:relSizeAnchor xmlns:cdr="http://schemas.openxmlformats.org/drawingml/2006/chartDrawing">
    <cdr:from>
      <cdr:x>0.11364</cdr:x>
      <cdr:y>0.88065</cdr:y>
    </cdr:from>
    <cdr:to>
      <cdr:x>0.28077</cdr:x>
      <cdr:y>0.94959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629428" y="3279784"/>
          <a:ext cx="925703" cy="25673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000"/>
            <a:t>Kustannukset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0.20169</cdr:x>
      <cdr:y>0.74342</cdr:y>
    </cdr:from>
    <cdr:to>
      <cdr:x>0.40169</cdr:x>
      <cdr:y>0.858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9170" y="2152659"/>
          <a:ext cx="792480" cy="331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1000"/>
            <a:t>Hyödyt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71438</xdr:colOff>
      <xdr:row>125</xdr:row>
      <xdr:rowOff>95249</xdr:rowOff>
    </xdr:from>
    <xdr:to>
      <xdr:col>2</xdr:col>
      <xdr:colOff>1104900</xdr:colOff>
      <xdr:row>140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714375</xdr:colOff>
      <xdr:row>130</xdr:row>
      <xdr:rowOff>47625</xdr:rowOff>
    </xdr:from>
    <xdr:ext cx="596061" cy="264560"/>
    <xdr:sp macro="" textlink="">
      <xdr:nvSpPr>
        <xdr:cNvPr id="4" name="TextBox 3"/>
        <xdr:cNvSpPr txBox="1"/>
      </xdr:nvSpPr>
      <xdr:spPr>
        <a:xfrm>
          <a:off x="2038350" y="14906625"/>
          <a:ext cx="5960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Hyödyt</a:t>
          </a:r>
        </a:p>
      </xdr:txBody>
    </xdr:sp>
    <xdr:clientData/>
  </xdr:oneCellAnchor>
  <xdr:twoCellAnchor>
    <xdr:from>
      <xdr:col>3</xdr:col>
      <xdr:colOff>0</xdr:colOff>
      <xdr:row>125</xdr:row>
      <xdr:rowOff>95250</xdr:rowOff>
    </xdr:from>
    <xdr:to>
      <xdr:col>8</xdr:col>
      <xdr:colOff>114300</xdr:colOff>
      <xdr:row>140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0.15623</cdr:x>
      <cdr:y>0.39145</cdr:y>
    </cdr:from>
    <cdr:to>
      <cdr:x>0.35623</cdr:x>
      <cdr:y>0.50603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8391" y="1133470"/>
          <a:ext cx="817245" cy="331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1100"/>
            <a:t>Hyödyt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61911</xdr:colOff>
      <xdr:row>125</xdr:row>
      <xdr:rowOff>95249</xdr:rowOff>
    </xdr:from>
    <xdr:to>
      <xdr:col>3</xdr:col>
      <xdr:colOff>409575</xdr:colOff>
      <xdr:row>140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809625</xdr:colOff>
      <xdr:row>126</xdr:row>
      <xdr:rowOff>38100</xdr:rowOff>
    </xdr:from>
    <xdr:ext cx="961161" cy="264560"/>
    <xdr:sp macro="" textlink="">
      <xdr:nvSpPr>
        <xdr:cNvPr id="4" name="TextBox 3"/>
        <xdr:cNvSpPr txBox="1"/>
      </xdr:nvSpPr>
      <xdr:spPr>
        <a:xfrm>
          <a:off x="1952625" y="22136100"/>
          <a:ext cx="9611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Kustannukset</a:t>
          </a:r>
        </a:p>
      </xdr:txBody>
    </xdr:sp>
    <xdr:clientData/>
  </xdr:oneCellAnchor>
  <xdr:oneCellAnchor>
    <xdr:from>
      <xdr:col>1</xdr:col>
      <xdr:colOff>990600</xdr:colOff>
      <xdr:row>130</xdr:row>
      <xdr:rowOff>95250</xdr:rowOff>
    </xdr:from>
    <xdr:ext cx="596061" cy="264560"/>
    <xdr:sp macro="" textlink="">
      <xdr:nvSpPr>
        <xdr:cNvPr id="5" name="TextBox 4"/>
        <xdr:cNvSpPr txBox="1"/>
      </xdr:nvSpPr>
      <xdr:spPr>
        <a:xfrm>
          <a:off x="2133600" y="21621750"/>
          <a:ext cx="5960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Hyödyt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61911</xdr:colOff>
      <xdr:row>125</xdr:row>
      <xdr:rowOff>95249</xdr:rowOff>
    </xdr:from>
    <xdr:to>
      <xdr:col>3</xdr:col>
      <xdr:colOff>409575</xdr:colOff>
      <xdr:row>140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828675</xdr:colOff>
      <xdr:row>126</xdr:row>
      <xdr:rowOff>95250</xdr:rowOff>
    </xdr:from>
    <xdr:ext cx="961161" cy="264560"/>
    <xdr:sp macro="" textlink="">
      <xdr:nvSpPr>
        <xdr:cNvPr id="3" name="TextBox 2"/>
        <xdr:cNvSpPr txBox="1"/>
      </xdr:nvSpPr>
      <xdr:spPr>
        <a:xfrm>
          <a:off x="1971675" y="21050250"/>
          <a:ext cx="9611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Kustannukset</a:t>
          </a:r>
        </a:p>
      </xdr:txBody>
    </xdr:sp>
    <xdr:clientData/>
  </xdr:oneCellAnchor>
  <xdr:oneCellAnchor>
    <xdr:from>
      <xdr:col>1</xdr:col>
      <xdr:colOff>990600</xdr:colOff>
      <xdr:row>130</xdr:row>
      <xdr:rowOff>95250</xdr:rowOff>
    </xdr:from>
    <xdr:ext cx="596061" cy="264560"/>
    <xdr:sp macro="" textlink="">
      <xdr:nvSpPr>
        <xdr:cNvPr id="4" name="TextBox 3"/>
        <xdr:cNvSpPr txBox="1"/>
      </xdr:nvSpPr>
      <xdr:spPr>
        <a:xfrm>
          <a:off x="2133600" y="21812250"/>
          <a:ext cx="5960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Hyödyt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61911</xdr:colOff>
      <xdr:row>125</xdr:row>
      <xdr:rowOff>95249</xdr:rowOff>
    </xdr:from>
    <xdr:to>
      <xdr:col>3</xdr:col>
      <xdr:colOff>409575</xdr:colOff>
      <xdr:row>140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828675</xdr:colOff>
      <xdr:row>126</xdr:row>
      <xdr:rowOff>95250</xdr:rowOff>
    </xdr:from>
    <xdr:ext cx="961161" cy="264560"/>
    <xdr:sp macro="" textlink="">
      <xdr:nvSpPr>
        <xdr:cNvPr id="3" name="TextBox 2"/>
        <xdr:cNvSpPr txBox="1"/>
      </xdr:nvSpPr>
      <xdr:spPr>
        <a:xfrm>
          <a:off x="1971675" y="21050250"/>
          <a:ext cx="9611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Kustannukset</a:t>
          </a:r>
        </a:p>
      </xdr:txBody>
    </xdr:sp>
    <xdr:clientData/>
  </xdr:oneCellAnchor>
  <xdr:oneCellAnchor>
    <xdr:from>
      <xdr:col>1</xdr:col>
      <xdr:colOff>962025</xdr:colOff>
      <xdr:row>130</xdr:row>
      <xdr:rowOff>0</xdr:rowOff>
    </xdr:from>
    <xdr:ext cx="596061" cy="264560"/>
    <xdr:sp macro="" textlink="">
      <xdr:nvSpPr>
        <xdr:cNvPr id="4" name="TextBox 3"/>
        <xdr:cNvSpPr txBox="1"/>
      </xdr:nvSpPr>
      <xdr:spPr>
        <a:xfrm>
          <a:off x="2105025" y="24955500"/>
          <a:ext cx="5960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Hyödyt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18</xdr:row>
      <xdr:rowOff>47625</xdr:rowOff>
    </xdr:from>
    <xdr:to>
      <xdr:col>2</xdr:col>
      <xdr:colOff>209550</xdr:colOff>
      <xdr:row>33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0.1912</cdr:x>
      <cdr:y>0.38816</cdr:y>
    </cdr:from>
    <cdr:to>
      <cdr:x>0.3912</cdr:x>
      <cdr:y>0.50274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282" y="1123959"/>
          <a:ext cx="817245" cy="331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1100"/>
            <a:t>Hyödyt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71438</xdr:colOff>
      <xdr:row>41</xdr:row>
      <xdr:rowOff>95249</xdr:rowOff>
    </xdr:from>
    <xdr:to>
      <xdr:col>2</xdr:col>
      <xdr:colOff>1104900</xdr:colOff>
      <xdr:row>60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695325</xdr:colOff>
      <xdr:row>48</xdr:row>
      <xdr:rowOff>104775</xdr:rowOff>
    </xdr:from>
    <xdr:ext cx="558614" cy="248851"/>
    <xdr:sp macro="" textlink="">
      <xdr:nvSpPr>
        <xdr:cNvPr id="3" name="TextBox 2"/>
        <xdr:cNvSpPr txBox="1"/>
      </xdr:nvSpPr>
      <xdr:spPr>
        <a:xfrm>
          <a:off x="2019300" y="9439275"/>
          <a:ext cx="558614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000"/>
            <a:t>Hyödyt</a:t>
          </a:r>
        </a:p>
      </xdr:txBody>
    </xdr:sp>
    <xdr:clientData/>
  </xdr:oneCellAnchor>
  <xdr:twoCellAnchor>
    <xdr:from>
      <xdr:col>3</xdr:col>
      <xdr:colOff>1</xdr:colOff>
      <xdr:row>41</xdr:row>
      <xdr:rowOff>95250</xdr:rowOff>
    </xdr:from>
    <xdr:to>
      <xdr:col>7</xdr:col>
      <xdr:colOff>876301</xdr:colOff>
      <xdr:row>56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685800</xdr:colOff>
      <xdr:row>45</xdr:row>
      <xdr:rowOff>171450</xdr:rowOff>
    </xdr:from>
    <xdr:ext cx="890565" cy="248851"/>
    <xdr:sp macro="" textlink="">
      <xdr:nvSpPr>
        <xdr:cNvPr id="5" name="TextBox 4"/>
        <xdr:cNvSpPr txBox="1"/>
      </xdr:nvSpPr>
      <xdr:spPr>
        <a:xfrm>
          <a:off x="2009775" y="8934450"/>
          <a:ext cx="89056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000"/>
            <a:t>Kustannukset</a:t>
          </a:r>
        </a:p>
      </xdr:txBody>
    </xdr:sp>
    <xdr:clientData/>
  </xdr:oneCellAnchor>
  <xdr:twoCellAnchor>
    <xdr:from>
      <xdr:col>1</xdr:col>
      <xdr:colOff>38100</xdr:colOff>
      <xdr:row>62</xdr:row>
      <xdr:rowOff>47625</xdr:rowOff>
    </xdr:from>
    <xdr:to>
      <xdr:col>2</xdr:col>
      <xdr:colOff>1071562</xdr:colOff>
      <xdr:row>80</xdr:row>
      <xdr:rowOff>152401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1238250</xdr:colOff>
      <xdr:row>65</xdr:row>
      <xdr:rowOff>76200</xdr:rowOff>
    </xdr:from>
    <xdr:to>
      <xdr:col>7</xdr:col>
      <xdr:colOff>857250</xdr:colOff>
      <xdr:row>80</xdr:row>
      <xdr:rowOff>114300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1038225</xdr:colOff>
      <xdr:row>60</xdr:row>
      <xdr:rowOff>114301</xdr:rowOff>
    </xdr:from>
    <xdr:to>
      <xdr:col>8</xdr:col>
      <xdr:colOff>514350</xdr:colOff>
      <xdr:row>81</xdr:row>
      <xdr:rowOff>152401</xdr:rowOff>
    </xdr:to>
    <xdr:sp macro="" textlink="">
      <xdr:nvSpPr>
        <xdr:cNvPr id="9" name="Rectangle 8"/>
        <xdr:cNvSpPr/>
      </xdr:nvSpPr>
      <xdr:spPr>
        <a:xfrm>
          <a:off x="1038225" y="11734801"/>
          <a:ext cx="10220325" cy="4229100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9</xdr:col>
      <xdr:colOff>485776</xdr:colOff>
      <xdr:row>57</xdr:row>
      <xdr:rowOff>95251</xdr:rowOff>
    </xdr:from>
    <xdr:to>
      <xdr:col>18</xdr:col>
      <xdr:colOff>257176</xdr:colOff>
      <xdr:row>94</xdr:row>
      <xdr:rowOff>104775</xdr:rowOff>
    </xdr:to>
    <xdr:sp macro="" textlink="">
      <xdr:nvSpPr>
        <xdr:cNvPr id="10" name="Rectangle 9"/>
        <xdr:cNvSpPr/>
      </xdr:nvSpPr>
      <xdr:spPr>
        <a:xfrm>
          <a:off x="11839576" y="11144251"/>
          <a:ext cx="8877300" cy="7248524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0.19928</cdr:x>
      <cdr:y>0.41448</cdr:y>
    </cdr:from>
    <cdr:to>
      <cdr:x>0.39928</cdr:x>
      <cdr:y>0.52906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9645" y="1200162"/>
          <a:ext cx="792480" cy="331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1000"/>
            <a:t>Hyödyt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0.13917</cdr:x>
      <cdr:y>0.6607</cdr:y>
    </cdr:from>
    <cdr:to>
      <cdr:x>0.24609</cdr:x>
      <cdr:y>0.72752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27075" y="2460625"/>
          <a:ext cx="558614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000"/>
            <a:t>Hyödyt</a:t>
          </a:r>
        </a:p>
      </cdr:txBody>
    </cdr:sp>
  </cdr:relSizeAnchor>
  <cdr:relSizeAnchor xmlns:cdr="http://schemas.openxmlformats.org/drawingml/2006/chartDrawing">
    <cdr:from>
      <cdr:x>0.11364</cdr:x>
      <cdr:y>0.88065</cdr:y>
    </cdr:from>
    <cdr:to>
      <cdr:x>0.2841</cdr:x>
      <cdr:y>0.94747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593725" y="3279775"/>
          <a:ext cx="890565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000"/>
            <a:t>Kustannukset</a:t>
          </a:r>
        </a:p>
      </cdr:txBody>
    </cdr:sp>
  </cdr:relSizeAnchor>
</c:userShapes>
</file>

<file path=xl/theme/theme1.xml><?xml version="1.0" encoding="utf-8"?>
<a:theme xmlns:a="http://schemas.openxmlformats.org/drawingml/2006/main" name="HSL2">
  <a:themeElements>
    <a:clrScheme name="HSL2">
      <a:dk1>
        <a:sysClr val="windowText" lastClr="000000"/>
      </a:dk1>
      <a:lt1>
        <a:sysClr val="window" lastClr="FFFFFF"/>
      </a:lt1>
      <a:dk2>
        <a:srgbClr val="007AC9"/>
      </a:dk2>
      <a:lt2>
        <a:srgbClr val="E6E6E6"/>
      </a:lt2>
      <a:accent1>
        <a:srgbClr val="007AC9"/>
      </a:accent1>
      <a:accent2>
        <a:srgbClr val="00985F"/>
      </a:accent2>
      <a:accent3>
        <a:srgbClr val="E16319"/>
      </a:accent3>
      <a:accent4>
        <a:srgbClr val="00B9E4"/>
      </a:accent4>
      <a:accent5>
        <a:srgbClr val="64BE14"/>
      </a:accent5>
      <a:accent6>
        <a:srgbClr val="F092CD"/>
      </a:accent6>
      <a:hlink>
        <a:srgbClr val="64BE14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20"/>
  <sheetViews>
    <sheetView tabSelected="1" workbookViewId="0">
      <selection activeCell="B3" sqref="B3:C3"/>
    </sheetView>
  </sheetViews>
  <sheetFormatPr defaultRowHeight="14.4" x14ac:dyDescent="0.3"/>
  <cols>
    <col min="1" max="1" width="2.5546875" customWidth="1"/>
    <col min="2" max="2" width="10.6640625" customWidth="1"/>
    <col min="3" max="3" width="55.44140625" customWidth="1"/>
    <col min="4" max="4" width="13.44140625" customWidth="1"/>
    <col min="5" max="5" width="17.5546875" customWidth="1"/>
    <col min="6" max="6" width="11" customWidth="1"/>
    <col min="7" max="7" width="20.44140625" customWidth="1"/>
    <col min="8" max="8" width="11.88671875" customWidth="1"/>
    <col min="9" max="9" width="13" customWidth="1"/>
    <col min="10" max="10" width="13.5546875" customWidth="1"/>
    <col min="11" max="11" width="11.88671875" customWidth="1"/>
    <col min="16" max="16" width="10.88671875" customWidth="1"/>
  </cols>
  <sheetData>
    <row r="2" spans="2:10" ht="21" x14ac:dyDescent="0.4">
      <c r="B2" s="14" t="s">
        <v>0</v>
      </c>
    </row>
    <row r="3" spans="2:10" x14ac:dyDescent="0.3">
      <c r="B3" s="3" t="s">
        <v>1</v>
      </c>
    </row>
    <row r="5" spans="2:10" ht="18" x14ac:dyDescent="0.35">
      <c r="B5" s="23" t="s">
        <v>61</v>
      </c>
      <c r="C5" s="21"/>
      <c r="D5" s="21"/>
      <c r="E5" s="21"/>
      <c r="F5" s="21"/>
    </row>
    <row r="6" spans="2:10" x14ac:dyDescent="0.3">
      <c r="B6" t="s">
        <v>2</v>
      </c>
      <c r="C6" s="2" t="s">
        <v>4</v>
      </c>
    </row>
    <row r="7" spans="2:10" ht="15" x14ac:dyDescent="0.25">
      <c r="D7" s="2" t="s">
        <v>6</v>
      </c>
    </row>
    <row r="8" spans="2:10" x14ac:dyDescent="0.3">
      <c r="C8" s="2" t="s">
        <v>3</v>
      </c>
      <c r="G8" s="2"/>
    </row>
    <row r="9" spans="2:10" ht="15" x14ac:dyDescent="0.25">
      <c r="D9" s="2" t="s">
        <v>5</v>
      </c>
      <c r="G9" s="2"/>
    </row>
    <row r="11" spans="2:10" ht="15" x14ac:dyDescent="0.25">
      <c r="B11" t="s">
        <v>7</v>
      </c>
    </row>
    <row r="12" spans="2:10" ht="15" x14ac:dyDescent="0.25">
      <c r="B12" s="1"/>
    </row>
    <row r="14" spans="2:10" x14ac:dyDescent="0.3">
      <c r="B14" s="1" t="s">
        <v>34</v>
      </c>
    </row>
    <row r="15" spans="2:10" x14ac:dyDescent="0.3">
      <c r="B15" s="2" t="s">
        <v>62</v>
      </c>
      <c r="J15" s="2"/>
    </row>
    <row r="16" spans="2:10" x14ac:dyDescent="0.3">
      <c r="B16" s="2" t="s">
        <v>65</v>
      </c>
      <c r="C16" s="2" t="s">
        <v>35</v>
      </c>
      <c r="E16" s="2"/>
      <c r="J16" s="2"/>
    </row>
    <row r="17" spans="2:6" ht="15" x14ac:dyDescent="0.25">
      <c r="B17" s="8"/>
      <c r="C17" s="8"/>
      <c r="D17" s="8"/>
      <c r="E17" s="8"/>
      <c r="F17" s="8"/>
    </row>
    <row r="18" spans="2:6" ht="15" x14ac:dyDescent="0.25">
      <c r="B18" t="s">
        <v>54</v>
      </c>
      <c r="C18" t="s">
        <v>55</v>
      </c>
      <c r="D18" t="s">
        <v>56</v>
      </c>
      <c r="E18" s="12" t="s">
        <v>58</v>
      </c>
      <c r="F18" t="s">
        <v>58</v>
      </c>
    </row>
    <row r="19" spans="2:6" x14ac:dyDescent="0.3">
      <c r="B19" s="8"/>
      <c r="C19" s="8"/>
      <c r="D19" s="8" t="s">
        <v>57</v>
      </c>
      <c r="E19" s="11" t="s">
        <v>59</v>
      </c>
      <c r="F19" s="8" t="s">
        <v>60</v>
      </c>
    </row>
    <row r="20" spans="2:6" x14ac:dyDescent="0.3">
      <c r="B20" t="s">
        <v>36</v>
      </c>
      <c r="C20" t="s">
        <v>38</v>
      </c>
      <c r="D20">
        <v>1.1499999999999999</v>
      </c>
      <c r="E20" s="12">
        <v>23.68</v>
      </c>
      <c r="F20">
        <v>27.23</v>
      </c>
    </row>
    <row r="21" spans="2:6" x14ac:dyDescent="0.3">
      <c r="B21" t="s">
        <v>37</v>
      </c>
      <c r="C21" t="s">
        <v>39</v>
      </c>
      <c r="D21">
        <v>1.1000000000000001</v>
      </c>
      <c r="E21" s="12">
        <v>10.68</v>
      </c>
      <c r="F21">
        <v>11.75</v>
      </c>
    </row>
    <row r="22" spans="2:6" ht="15" x14ac:dyDescent="0.25">
      <c r="C22" t="s">
        <v>40</v>
      </c>
      <c r="D22">
        <v>1.6</v>
      </c>
      <c r="E22" s="12">
        <v>6.79</v>
      </c>
      <c r="F22">
        <v>10.86</v>
      </c>
    </row>
    <row r="23" spans="2:6" ht="15" thickBot="1" x14ac:dyDescent="0.35">
      <c r="B23" s="8"/>
      <c r="C23" s="8" t="s">
        <v>41</v>
      </c>
      <c r="D23" s="8">
        <v>1.46</v>
      </c>
      <c r="E23" s="13">
        <v>8.33</v>
      </c>
      <c r="F23" s="8">
        <v>12.16</v>
      </c>
    </row>
    <row r="24" spans="2:6" x14ac:dyDescent="0.3">
      <c r="B24" s="9" t="s">
        <v>42</v>
      </c>
      <c r="C24" s="9" t="s">
        <v>43</v>
      </c>
      <c r="D24" s="9">
        <v>1.5</v>
      </c>
      <c r="E24" s="9">
        <v>22.21</v>
      </c>
      <c r="F24" s="9">
        <v>33.32</v>
      </c>
    </row>
    <row r="25" spans="2:6" x14ac:dyDescent="0.3">
      <c r="B25" s="9" t="s">
        <v>37</v>
      </c>
      <c r="C25" s="9" t="s">
        <v>44</v>
      </c>
      <c r="D25" s="9">
        <v>1.6</v>
      </c>
      <c r="E25" s="9">
        <v>10.68</v>
      </c>
      <c r="F25" s="9">
        <v>17.09</v>
      </c>
    </row>
    <row r="26" spans="2:6" ht="15" x14ac:dyDescent="0.25">
      <c r="B26" s="9"/>
      <c r="C26" s="9" t="s">
        <v>45</v>
      </c>
      <c r="D26" s="9">
        <v>1.9</v>
      </c>
      <c r="E26" s="9">
        <v>6.79</v>
      </c>
      <c r="F26" s="9">
        <v>12.9</v>
      </c>
    </row>
    <row r="27" spans="2:6" x14ac:dyDescent="0.3">
      <c r="B27" s="10"/>
      <c r="C27" s="10" t="s">
        <v>41</v>
      </c>
      <c r="D27" s="10">
        <v>1.67</v>
      </c>
      <c r="E27" s="10">
        <v>12.76</v>
      </c>
      <c r="F27" s="10">
        <v>21.3</v>
      </c>
    </row>
    <row r="28" spans="2:6" x14ac:dyDescent="0.3">
      <c r="B28" s="9" t="s">
        <v>46</v>
      </c>
      <c r="C28" s="9" t="s">
        <v>49</v>
      </c>
      <c r="D28" s="9">
        <v>1.18</v>
      </c>
      <c r="E28" s="9">
        <v>23.62</v>
      </c>
      <c r="F28" s="9">
        <v>27.87</v>
      </c>
    </row>
    <row r="29" spans="2:6" x14ac:dyDescent="0.3">
      <c r="B29" s="9" t="s">
        <v>47</v>
      </c>
      <c r="C29" s="9" t="s">
        <v>50</v>
      </c>
      <c r="D29" s="9">
        <v>1.1399999999999999</v>
      </c>
      <c r="E29" s="9">
        <v>11.04</v>
      </c>
      <c r="F29" s="9">
        <v>12.59</v>
      </c>
    </row>
    <row r="30" spans="2:6" ht="15" x14ac:dyDescent="0.25">
      <c r="B30" s="9" t="s">
        <v>48</v>
      </c>
      <c r="C30" s="9" t="s">
        <v>51</v>
      </c>
      <c r="D30" s="9">
        <v>1.62</v>
      </c>
      <c r="E30" s="9">
        <v>6.76</v>
      </c>
      <c r="F30" s="9">
        <v>10.95</v>
      </c>
    </row>
    <row r="31" spans="2:6" x14ac:dyDescent="0.3">
      <c r="B31" s="10"/>
      <c r="C31" s="10" t="s">
        <v>41</v>
      </c>
      <c r="D31" s="10">
        <v>1.48</v>
      </c>
      <c r="E31" s="10">
        <v>8.7100000000000009</v>
      </c>
      <c r="F31" s="10">
        <v>12.89</v>
      </c>
    </row>
    <row r="32" spans="2:6" x14ac:dyDescent="0.3">
      <c r="B32" s="9" t="s">
        <v>52</v>
      </c>
      <c r="C32" s="9"/>
      <c r="D32" s="9"/>
      <c r="E32" s="9"/>
      <c r="F32" s="9"/>
    </row>
    <row r="33" spans="2:8" ht="15" x14ac:dyDescent="0.25">
      <c r="B33" s="9" t="s">
        <v>53</v>
      </c>
      <c r="C33" s="9"/>
      <c r="D33" s="9"/>
      <c r="E33" s="9"/>
      <c r="F33" s="9"/>
    </row>
    <row r="34" spans="2:8" ht="15.75" thickBot="1" x14ac:dyDescent="0.3">
      <c r="B34" s="9"/>
      <c r="C34" s="9"/>
      <c r="D34" s="9"/>
      <c r="E34" s="9"/>
      <c r="F34" s="9"/>
    </row>
    <row r="35" spans="2:8" ht="15" thickBot="1" x14ac:dyDescent="0.35">
      <c r="B35" s="9"/>
      <c r="C35" s="49" t="s">
        <v>209</v>
      </c>
      <c r="D35" s="9"/>
      <c r="E35" s="65">
        <f>(6.8*E20+20.6*E21)/(6.8+20.6)</f>
        <v>13.906277372262775</v>
      </c>
      <c r="F35" s="9"/>
    </row>
    <row r="38" spans="2:8" ht="15" x14ac:dyDescent="0.25">
      <c r="B38" s="1" t="s">
        <v>63</v>
      </c>
      <c r="F38" s="145" t="s">
        <v>150</v>
      </c>
    </row>
    <row r="39" spans="2:8" x14ac:dyDescent="0.3">
      <c r="B39" s="2" t="s">
        <v>62</v>
      </c>
      <c r="F39" s="67" t="s">
        <v>275</v>
      </c>
      <c r="G39" s="2"/>
      <c r="H39" s="2"/>
    </row>
    <row r="40" spans="2:8" x14ac:dyDescent="0.3">
      <c r="B40" s="2" t="s">
        <v>64</v>
      </c>
      <c r="C40" s="2" t="s">
        <v>66</v>
      </c>
      <c r="F40" s="2"/>
      <c r="G40" s="2" t="s">
        <v>276</v>
      </c>
      <c r="H40" s="2"/>
    </row>
    <row r="41" spans="2:8" ht="15" x14ac:dyDescent="0.25">
      <c r="B41" s="2"/>
      <c r="C41" s="2"/>
      <c r="G41" s="2" t="s">
        <v>274</v>
      </c>
    </row>
    <row r="42" spans="2:8" ht="15" x14ac:dyDescent="0.25">
      <c r="B42" s="2"/>
      <c r="C42" s="2"/>
      <c r="G42" s="2"/>
    </row>
    <row r="43" spans="2:8" ht="28.8" x14ac:dyDescent="0.3">
      <c r="C43" s="8" t="s">
        <v>71</v>
      </c>
      <c r="D43" s="8" t="s">
        <v>70</v>
      </c>
      <c r="G43" s="35" t="s">
        <v>487</v>
      </c>
      <c r="H43" t="s">
        <v>479</v>
      </c>
    </row>
    <row r="44" spans="2:8" x14ac:dyDescent="0.3">
      <c r="C44" t="s">
        <v>72</v>
      </c>
      <c r="D44" s="15">
        <v>2406200</v>
      </c>
      <c r="F44" s="38" t="s">
        <v>151</v>
      </c>
      <c r="G44" s="40">
        <v>6</v>
      </c>
      <c r="H44" s="98">
        <v>0.75</v>
      </c>
    </row>
    <row r="45" spans="2:8" x14ac:dyDescent="0.3">
      <c r="C45" t="s">
        <v>73</v>
      </c>
      <c r="D45" s="15">
        <v>1349600</v>
      </c>
      <c r="F45" s="38" t="s">
        <v>152</v>
      </c>
      <c r="G45" s="40">
        <v>26</v>
      </c>
      <c r="H45" s="98">
        <v>0.19</v>
      </c>
    </row>
    <row r="46" spans="2:8" x14ac:dyDescent="0.3">
      <c r="C46" t="s">
        <v>67</v>
      </c>
      <c r="D46" s="15">
        <v>324300</v>
      </c>
      <c r="F46" s="38" t="s">
        <v>153</v>
      </c>
      <c r="G46" s="40">
        <v>36</v>
      </c>
      <c r="H46" s="99"/>
    </row>
    <row r="47" spans="2:8" x14ac:dyDescent="0.3">
      <c r="C47" t="s">
        <v>68</v>
      </c>
      <c r="D47" s="15">
        <v>62800</v>
      </c>
      <c r="F47" s="38" t="s">
        <v>154</v>
      </c>
      <c r="G47" s="40">
        <v>31</v>
      </c>
      <c r="H47" s="98">
        <v>0.06</v>
      </c>
    </row>
    <row r="48" spans="2:8" x14ac:dyDescent="0.3">
      <c r="C48" t="s">
        <v>69</v>
      </c>
      <c r="D48" s="15">
        <v>193500</v>
      </c>
      <c r="F48" s="38" t="s">
        <v>155</v>
      </c>
      <c r="G48" s="40">
        <v>56</v>
      </c>
      <c r="H48" s="99"/>
    </row>
    <row r="49" spans="2:7" ht="15" thickBot="1" x14ac:dyDescent="0.35">
      <c r="C49" t="s">
        <v>74</v>
      </c>
      <c r="D49" s="15">
        <v>309100</v>
      </c>
    </row>
    <row r="50" spans="2:7" ht="15" thickBot="1" x14ac:dyDescent="0.35">
      <c r="F50" s="38" t="s">
        <v>92</v>
      </c>
      <c r="G50" s="97">
        <f>G44*H44+G45*H45+G47*H47</f>
        <v>11.3</v>
      </c>
    </row>
    <row r="51" spans="2:7" x14ac:dyDescent="0.3">
      <c r="C51" s="8" t="s">
        <v>75</v>
      </c>
      <c r="D51" s="8" t="s">
        <v>70</v>
      </c>
    </row>
    <row r="52" spans="2:7" ht="15" x14ac:dyDescent="0.25">
      <c r="C52" t="s">
        <v>76</v>
      </c>
      <c r="D52" s="15">
        <v>2911100</v>
      </c>
    </row>
    <row r="53" spans="2:7" ht="15.75" thickBot="1" x14ac:dyDescent="0.3">
      <c r="C53" t="s">
        <v>77</v>
      </c>
      <c r="D53" s="15">
        <v>439900</v>
      </c>
    </row>
    <row r="54" spans="2:7" ht="15" thickBot="1" x14ac:dyDescent="0.35">
      <c r="C54" s="16" t="s">
        <v>78</v>
      </c>
      <c r="D54" s="17">
        <v>598800</v>
      </c>
    </row>
    <row r="55" spans="2:7" x14ac:dyDescent="0.3">
      <c r="C55" t="s">
        <v>79</v>
      </c>
      <c r="D55" s="15">
        <v>3200</v>
      </c>
    </row>
    <row r="56" spans="2:7" x14ac:dyDescent="0.3">
      <c r="C56" t="s">
        <v>80</v>
      </c>
      <c r="D56" s="15">
        <v>135500</v>
      </c>
    </row>
    <row r="59" spans="2:7" ht="15" x14ac:dyDescent="0.25">
      <c r="B59" s="22" t="s">
        <v>480</v>
      </c>
    </row>
    <row r="61" spans="2:7" x14ac:dyDescent="0.3">
      <c r="B61" t="s">
        <v>481</v>
      </c>
    </row>
    <row r="62" spans="2:7" ht="15" x14ac:dyDescent="0.25">
      <c r="B62" t="s">
        <v>483</v>
      </c>
      <c r="C62" s="22" t="s">
        <v>484</v>
      </c>
    </row>
    <row r="63" spans="2:7" x14ac:dyDescent="0.3">
      <c r="C63" s="4" t="s">
        <v>482</v>
      </c>
    </row>
    <row r="64" spans="2:7" x14ac:dyDescent="0.3">
      <c r="C64" t="s">
        <v>493</v>
      </c>
    </row>
    <row r="65" spans="2:5" x14ac:dyDescent="0.3">
      <c r="C65" t="s">
        <v>489</v>
      </c>
    </row>
    <row r="66" spans="2:5" x14ac:dyDescent="0.3">
      <c r="C66">
        <v>0.3</v>
      </c>
      <c r="D66" t="s">
        <v>485</v>
      </c>
      <c r="E66" t="s">
        <v>494</v>
      </c>
    </row>
    <row r="67" spans="2:5" x14ac:dyDescent="0.3">
      <c r="C67" t="s">
        <v>486</v>
      </c>
    </row>
    <row r="68" spans="2:5" ht="15" thickBot="1" x14ac:dyDescent="0.35">
      <c r="C68" s="41">
        <f>(G48-G50)*D54/1000000000</f>
        <v>2.6766359999999999E-2</v>
      </c>
      <c r="D68" t="s">
        <v>488</v>
      </c>
    </row>
    <row r="69" spans="2:5" ht="15" thickBot="1" x14ac:dyDescent="0.35">
      <c r="C69" s="135">
        <f>C66*C68</f>
        <v>8.0299079999999988E-3</v>
      </c>
      <c r="D69" t="s">
        <v>490</v>
      </c>
    </row>
    <row r="71" spans="2:5" ht="15" x14ac:dyDescent="0.25">
      <c r="B71" t="s">
        <v>491</v>
      </c>
      <c r="C71" s="22" t="s">
        <v>496</v>
      </c>
    </row>
    <row r="72" spans="2:5" x14ac:dyDescent="0.3">
      <c r="C72" t="s">
        <v>497</v>
      </c>
    </row>
    <row r="73" spans="2:5" x14ac:dyDescent="0.3">
      <c r="C73" s="4" t="s">
        <v>498</v>
      </c>
    </row>
    <row r="74" spans="2:5" x14ac:dyDescent="0.3">
      <c r="C74" s="4" t="s">
        <v>499</v>
      </c>
    </row>
    <row r="75" spans="2:5" x14ac:dyDescent="0.3">
      <c r="C75" s="4" t="s">
        <v>531</v>
      </c>
    </row>
    <row r="76" spans="2:5" x14ac:dyDescent="0.3">
      <c r="C76" s="4" t="s">
        <v>514</v>
      </c>
    </row>
    <row r="77" spans="2:5" x14ac:dyDescent="0.3">
      <c r="C77" s="4" t="s">
        <v>532</v>
      </c>
    </row>
    <row r="78" spans="2:5" ht="15" x14ac:dyDescent="0.25">
      <c r="C78" s="4" t="s">
        <v>500</v>
      </c>
    </row>
    <row r="79" spans="2:5" x14ac:dyDescent="0.3">
      <c r="C79" s="4" t="s">
        <v>501</v>
      </c>
    </row>
    <row r="80" spans="2:5" x14ac:dyDescent="0.3">
      <c r="C80" s="4" t="s">
        <v>513</v>
      </c>
    </row>
    <row r="81" spans="2:9" x14ac:dyDescent="0.3">
      <c r="C81" s="4" t="s">
        <v>511</v>
      </c>
    </row>
    <row r="82" spans="2:9" x14ac:dyDescent="0.3">
      <c r="C82" s="4" t="s">
        <v>512</v>
      </c>
    </row>
    <row r="83" spans="2:9" x14ac:dyDescent="0.3">
      <c r="C83" s="4" t="s">
        <v>515</v>
      </c>
    </row>
    <row r="84" spans="2:9" x14ac:dyDescent="0.3">
      <c r="C84" s="4" t="s">
        <v>516</v>
      </c>
    </row>
    <row r="85" spans="2:9" x14ac:dyDescent="0.3">
      <c r="C85" s="4" t="s">
        <v>533</v>
      </c>
    </row>
    <row r="86" spans="2:9" ht="15" x14ac:dyDescent="0.25">
      <c r="C86" s="4"/>
    </row>
    <row r="87" spans="2:9" x14ac:dyDescent="0.3">
      <c r="C87" s="4" t="s">
        <v>502</v>
      </c>
      <c r="I87" s="136" t="s">
        <v>504</v>
      </c>
    </row>
    <row r="88" spans="2:9" x14ac:dyDescent="0.3">
      <c r="C88" s="4" t="s">
        <v>503</v>
      </c>
      <c r="I88" s="136" t="s">
        <v>505</v>
      </c>
    </row>
    <row r="89" spans="2:9" x14ac:dyDescent="0.3">
      <c r="C89" t="s">
        <v>506</v>
      </c>
    </row>
    <row r="90" spans="2:9" x14ac:dyDescent="0.3">
      <c r="C90" t="s">
        <v>507</v>
      </c>
      <c r="I90" s="2" t="s">
        <v>509</v>
      </c>
    </row>
    <row r="91" spans="2:9" ht="15" x14ac:dyDescent="0.25">
      <c r="C91" s="4" t="s">
        <v>508</v>
      </c>
      <c r="I91" s="2" t="s">
        <v>510</v>
      </c>
    </row>
    <row r="92" spans="2:9" ht="15" x14ac:dyDescent="0.25">
      <c r="C92" t="s">
        <v>534</v>
      </c>
      <c r="D92" s="15"/>
    </row>
    <row r="93" spans="2:9" ht="15" x14ac:dyDescent="0.25">
      <c r="D93" s="15"/>
    </row>
    <row r="94" spans="2:9" x14ac:dyDescent="0.3">
      <c r="C94" t="s">
        <v>517</v>
      </c>
      <c r="D94" s="15"/>
    </row>
    <row r="95" spans="2:9" x14ac:dyDescent="0.3">
      <c r="B95" s="134">
        <v>0.3</v>
      </c>
      <c r="C95" s="15" t="s">
        <v>518</v>
      </c>
    </row>
    <row r="96" spans="2:9" x14ac:dyDescent="0.3">
      <c r="B96" s="88">
        <v>0.2</v>
      </c>
      <c r="C96" s="15" t="s">
        <v>519</v>
      </c>
    </row>
    <row r="97" spans="2:9" x14ac:dyDescent="0.3">
      <c r="B97" s="39"/>
      <c r="C97" s="15" t="s">
        <v>525</v>
      </c>
    </row>
    <row r="98" spans="2:9" x14ac:dyDescent="0.3">
      <c r="B98" s="44">
        <f>G50</f>
        <v>11.3</v>
      </c>
      <c r="C98" s="15" t="s">
        <v>520</v>
      </c>
    </row>
    <row r="99" spans="2:9" x14ac:dyDescent="0.3">
      <c r="B99">
        <f>(1-B95)*(1-B96)*B98</f>
        <v>6.3279999999999994</v>
      </c>
      <c r="C99" s="15" t="s">
        <v>535</v>
      </c>
    </row>
    <row r="100" spans="2:9" ht="15" x14ac:dyDescent="0.25">
      <c r="C100" s="15" t="s">
        <v>526</v>
      </c>
    </row>
    <row r="101" spans="2:9" ht="15" thickBot="1" x14ac:dyDescent="0.35">
      <c r="B101" s="15">
        <f>B98*D54</f>
        <v>6766440</v>
      </c>
      <c r="C101" t="s">
        <v>521</v>
      </c>
    </row>
    <row r="102" spans="2:9" ht="15" thickBot="1" x14ac:dyDescent="0.35">
      <c r="B102" s="135">
        <f>B101/100000000</f>
        <v>6.76644E-2</v>
      </c>
      <c r="C102" t="s">
        <v>522</v>
      </c>
    </row>
    <row r="103" spans="2:9" ht="15" thickBot="1" x14ac:dyDescent="0.35">
      <c r="B103" s="15">
        <f>B99*D54</f>
        <v>3789206.3999999994</v>
      </c>
      <c r="C103" t="s">
        <v>523</v>
      </c>
    </row>
    <row r="104" spans="2:9" ht="15" thickBot="1" x14ac:dyDescent="0.35">
      <c r="B104" s="135">
        <f>B103/100000000</f>
        <v>3.7892063999999996E-2</v>
      </c>
      <c r="C104" t="s">
        <v>524</v>
      </c>
      <c r="D104" t="s">
        <v>527</v>
      </c>
    </row>
    <row r="105" spans="2:9" ht="15" x14ac:dyDescent="0.25">
      <c r="B105" s="137"/>
    </row>
    <row r="107" spans="2:9" x14ac:dyDescent="0.3">
      <c r="B107" s="1" t="s">
        <v>81</v>
      </c>
      <c r="H107" s="144" t="s">
        <v>228</v>
      </c>
    </row>
    <row r="108" spans="2:9" x14ac:dyDescent="0.3">
      <c r="B108" s="2" t="s">
        <v>62</v>
      </c>
      <c r="H108" s="22" t="s">
        <v>212</v>
      </c>
    </row>
    <row r="109" spans="2:9" x14ac:dyDescent="0.3">
      <c r="B109" s="2" t="s">
        <v>82</v>
      </c>
      <c r="C109" s="2"/>
      <c r="H109" s="67" t="s">
        <v>2</v>
      </c>
      <c r="I109" s="2" t="s">
        <v>166</v>
      </c>
    </row>
    <row r="110" spans="2:9" ht="15" x14ac:dyDescent="0.25">
      <c r="H110" s="2"/>
      <c r="I110" s="2" t="s">
        <v>162</v>
      </c>
    </row>
    <row r="111" spans="2:9" x14ac:dyDescent="0.3">
      <c r="B111" s="22" t="s">
        <v>83</v>
      </c>
      <c r="I111" t="s">
        <v>163</v>
      </c>
    </row>
    <row r="112" spans="2:9" x14ac:dyDescent="0.3">
      <c r="B112" s="2" t="s">
        <v>88</v>
      </c>
      <c r="C112" s="2" t="s">
        <v>84</v>
      </c>
      <c r="I112" t="s">
        <v>223</v>
      </c>
    </row>
    <row r="113" spans="2:16" ht="15" customHeight="1" thickBot="1" x14ac:dyDescent="0.35">
      <c r="I113" t="s">
        <v>214</v>
      </c>
    </row>
    <row r="114" spans="2:16" x14ac:dyDescent="0.3">
      <c r="C114" s="8" t="s">
        <v>89</v>
      </c>
      <c r="D114" s="18" t="s">
        <v>90</v>
      </c>
      <c r="E114" s="8" t="s">
        <v>91</v>
      </c>
      <c r="F114" s="8" t="s">
        <v>92</v>
      </c>
      <c r="I114" t="s">
        <v>215</v>
      </c>
    </row>
    <row r="115" spans="2:16" ht="18.75" customHeight="1" thickBot="1" x14ac:dyDescent="0.4">
      <c r="C115" t="s">
        <v>96</v>
      </c>
      <c r="D115" s="12">
        <v>1430</v>
      </c>
      <c r="E115">
        <v>308</v>
      </c>
      <c r="F115">
        <v>869</v>
      </c>
      <c r="I115" t="s">
        <v>213</v>
      </c>
    </row>
    <row r="116" spans="2:16" ht="15" thickBot="1" x14ac:dyDescent="0.35">
      <c r="C116" t="s">
        <v>93</v>
      </c>
      <c r="D116" s="12">
        <v>138315</v>
      </c>
      <c r="E116">
        <v>8604</v>
      </c>
      <c r="F116">
        <v>73459</v>
      </c>
      <c r="I116" s="199" t="s">
        <v>160</v>
      </c>
      <c r="J116" s="200"/>
      <c r="K116" s="200"/>
      <c r="L116" s="200"/>
      <c r="M116" s="201"/>
    </row>
    <row r="117" spans="2:16" ht="16.2" thickBot="1" x14ac:dyDescent="0.35">
      <c r="C117" t="s">
        <v>94</v>
      </c>
      <c r="D117" s="12">
        <v>32</v>
      </c>
      <c r="E117">
        <v>32</v>
      </c>
      <c r="F117">
        <v>32</v>
      </c>
      <c r="I117" s="50" t="s">
        <v>221</v>
      </c>
      <c r="J117" s="51" t="s">
        <v>164</v>
      </c>
      <c r="K117" s="52" t="s">
        <v>165</v>
      </c>
      <c r="L117" s="71" t="s">
        <v>222</v>
      </c>
      <c r="M117" s="55" t="s">
        <v>169</v>
      </c>
    </row>
    <row r="118" spans="2:16" ht="18.75" customHeight="1" thickBot="1" x14ac:dyDescent="0.4">
      <c r="C118" t="s">
        <v>95</v>
      </c>
      <c r="D118" s="13">
        <v>40</v>
      </c>
      <c r="E118">
        <v>40</v>
      </c>
      <c r="F118">
        <v>40</v>
      </c>
      <c r="H118" s="38" t="s">
        <v>161</v>
      </c>
      <c r="I118" s="46">
        <v>0.4</v>
      </c>
      <c r="J118" s="47">
        <v>1.2E-2</v>
      </c>
      <c r="K118" s="48">
        <v>0.17</v>
      </c>
      <c r="L118" s="48">
        <v>165</v>
      </c>
      <c r="M118" s="56"/>
    </row>
    <row r="119" spans="2:16" ht="15" thickBot="1" x14ac:dyDescent="0.35">
      <c r="H119" s="38" t="s">
        <v>168</v>
      </c>
      <c r="I119" s="57">
        <f>I118*D115/1000000</f>
        <v>5.7200000000000003E-4</v>
      </c>
      <c r="J119" s="69">
        <f>J118*D116/1000000</f>
        <v>1.65978E-3</v>
      </c>
      <c r="K119" s="69">
        <f>K118*D117/1000000</f>
        <v>5.4400000000000004E-6</v>
      </c>
      <c r="L119" s="70">
        <f>L118*D118/1000000</f>
        <v>6.6E-3</v>
      </c>
      <c r="M119" s="54">
        <f>I119+J119+K119+L119</f>
        <v>8.8372199999999998E-3</v>
      </c>
    </row>
    <row r="120" spans="2:16" x14ac:dyDescent="0.3">
      <c r="B120" s="22" t="s">
        <v>98</v>
      </c>
    </row>
    <row r="121" spans="2:16" x14ac:dyDescent="0.3">
      <c r="B121" s="2" t="s">
        <v>99</v>
      </c>
      <c r="C121" s="2" t="s">
        <v>100</v>
      </c>
      <c r="H121" s="22" t="s">
        <v>211</v>
      </c>
    </row>
    <row r="122" spans="2:16" ht="15" thickBot="1" x14ac:dyDescent="0.35">
      <c r="H122" s="67" t="s">
        <v>2</v>
      </c>
      <c r="I122" s="2" t="s">
        <v>229</v>
      </c>
      <c r="O122" t="s">
        <v>227</v>
      </c>
    </row>
    <row r="123" spans="2:16" ht="29.4" thickBot="1" x14ac:dyDescent="0.35">
      <c r="C123" s="8"/>
      <c r="D123" s="19" t="s">
        <v>102</v>
      </c>
      <c r="E123" s="20" t="s">
        <v>103</v>
      </c>
      <c r="I123" t="s">
        <v>216</v>
      </c>
      <c r="K123" s="37"/>
      <c r="O123" t="s">
        <v>224</v>
      </c>
      <c r="P123" t="s">
        <v>226</v>
      </c>
    </row>
    <row r="124" spans="2:16" ht="16.2" thickBot="1" x14ac:dyDescent="0.35">
      <c r="C124" t="s">
        <v>101</v>
      </c>
      <c r="D124">
        <v>0.21</v>
      </c>
      <c r="E124" s="13">
        <f>D124/100</f>
        <v>2.0999999999999999E-3</v>
      </c>
      <c r="I124" t="s">
        <v>220</v>
      </c>
      <c r="O124" s="72" t="s">
        <v>221</v>
      </c>
      <c r="P124" s="73">
        <v>2.6</v>
      </c>
    </row>
    <row r="125" spans="2:16" x14ac:dyDescent="0.3">
      <c r="I125" t="s">
        <v>218</v>
      </c>
      <c r="O125" s="74" t="s">
        <v>225</v>
      </c>
      <c r="P125" s="75">
        <v>0.03</v>
      </c>
    </row>
    <row r="126" spans="2:16" ht="15" thickBot="1" x14ac:dyDescent="0.35">
      <c r="B126" t="s">
        <v>104</v>
      </c>
      <c r="I126" t="s">
        <v>217</v>
      </c>
      <c r="O126" s="74" t="s">
        <v>165</v>
      </c>
      <c r="P126" s="75">
        <v>0.4</v>
      </c>
    </row>
    <row r="127" spans="2:16" ht="16.2" thickBot="1" x14ac:dyDescent="0.35">
      <c r="B127" t="s">
        <v>105</v>
      </c>
      <c r="I127" s="199" t="s">
        <v>219</v>
      </c>
      <c r="J127" s="200"/>
      <c r="K127" s="200"/>
      <c r="L127" s="200"/>
      <c r="M127" s="201"/>
      <c r="O127" s="76" t="s">
        <v>222</v>
      </c>
      <c r="P127" s="77">
        <v>400</v>
      </c>
    </row>
    <row r="128" spans="2:16" ht="16.2" thickBot="1" x14ac:dyDescent="0.35">
      <c r="B128" t="s">
        <v>106</v>
      </c>
      <c r="I128" s="50" t="s">
        <v>221</v>
      </c>
      <c r="J128" s="51" t="s">
        <v>164</v>
      </c>
      <c r="K128" s="52" t="s">
        <v>165</v>
      </c>
      <c r="L128" s="71" t="s">
        <v>222</v>
      </c>
      <c r="M128" s="55" t="s">
        <v>169</v>
      </c>
    </row>
    <row r="129" spans="2:19" ht="15" thickBot="1" x14ac:dyDescent="0.35">
      <c r="B129" t="s">
        <v>107</v>
      </c>
      <c r="H129" s="38" t="s">
        <v>161</v>
      </c>
      <c r="I129" s="46">
        <v>0.33</v>
      </c>
      <c r="J129" s="47">
        <v>2.5999999999999999E-3</v>
      </c>
      <c r="K129" s="48">
        <v>1.7999999999999999E-2</v>
      </c>
      <c r="L129" s="68">
        <v>390</v>
      </c>
      <c r="M129" s="56"/>
    </row>
    <row r="130" spans="2:19" ht="15" thickBot="1" x14ac:dyDescent="0.35">
      <c r="H130" s="38" t="s">
        <v>168</v>
      </c>
      <c r="I130" s="57">
        <f>I129*D115/1000000</f>
        <v>4.7190000000000003E-4</v>
      </c>
      <c r="J130" s="69">
        <f>J129*D116/1000000</f>
        <v>3.5961899999999999E-4</v>
      </c>
      <c r="K130" s="69">
        <f>K129*D117/1000000</f>
        <v>5.7599999999999997E-7</v>
      </c>
      <c r="L130" s="70">
        <f>L129*D118/1000000</f>
        <v>1.5599999999999999E-2</v>
      </c>
      <c r="M130" s="54">
        <f>I130+J130+K130+L130</f>
        <v>1.6432095000000001E-2</v>
      </c>
    </row>
    <row r="131" spans="2:19" ht="15" x14ac:dyDescent="0.25">
      <c r="H131" s="38"/>
      <c r="I131" s="104"/>
      <c r="J131" s="104"/>
      <c r="K131" s="104"/>
      <c r="L131" s="104"/>
      <c r="M131" s="148"/>
    </row>
    <row r="132" spans="2:19" x14ac:dyDescent="0.3">
      <c r="H132" s="143" t="s">
        <v>545</v>
      </c>
      <c r="I132" s="104"/>
      <c r="J132" s="104"/>
      <c r="K132" s="104"/>
      <c r="L132" s="104"/>
      <c r="M132" s="148"/>
    </row>
    <row r="133" spans="2:19" x14ac:dyDescent="0.3">
      <c r="H133" s="146" t="s">
        <v>546</v>
      </c>
      <c r="I133" s="147" t="s">
        <v>547</v>
      </c>
      <c r="J133" s="104"/>
      <c r="K133" s="104"/>
      <c r="L133" s="104"/>
      <c r="M133" s="148"/>
    </row>
    <row r="134" spans="2:19" x14ac:dyDescent="0.3">
      <c r="H134" s="38"/>
      <c r="I134" s="147" t="s">
        <v>548</v>
      </c>
      <c r="J134" s="104"/>
      <c r="K134" s="104"/>
      <c r="L134" s="104"/>
      <c r="M134" s="148"/>
    </row>
    <row r="135" spans="2:19" x14ac:dyDescent="0.3">
      <c r="H135" s="38"/>
      <c r="I135" s="148" t="s">
        <v>553</v>
      </c>
      <c r="J135" s="104"/>
      <c r="K135" s="104"/>
      <c r="L135" s="104"/>
      <c r="M135" s="148"/>
    </row>
    <row r="136" spans="2:19" x14ac:dyDescent="0.3">
      <c r="H136" s="38"/>
      <c r="I136" s="148" t="s">
        <v>554</v>
      </c>
      <c r="J136" s="104"/>
      <c r="K136" s="104"/>
      <c r="L136" s="104"/>
      <c r="M136" s="148"/>
    </row>
    <row r="137" spans="2:19" ht="15" x14ac:dyDescent="0.25">
      <c r="H137" s="38"/>
      <c r="I137" s="148"/>
      <c r="J137" s="104"/>
      <c r="K137" s="104"/>
      <c r="L137" s="104"/>
      <c r="M137" s="148"/>
    </row>
    <row r="138" spans="2:19" ht="15" thickBot="1" x14ac:dyDescent="0.35">
      <c r="H138" s="38"/>
      <c r="I138" s="202" t="s">
        <v>552</v>
      </c>
      <c r="J138" s="202"/>
      <c r="K138" s="202"/>
      <c r="L138" s="202"/>
      <c r="M138" s="202"/>
      <c r="O138" s="150" t="s">
        <v>549</v>
      </c>
      <c r="P138" s="149"/>
      <c r="Q138" s="149"/>
      <c r="R138" s="149"/>
    </row>
    <row r="139" spans="2:19" ht="15.75" thickBot="1" x14ac:dyDescent="0.3">
      <c r="I139" s="199" t="s">
        <v>550</v>
      </c>
      <c r="J139" s="200"/>
      <c r="K139" s="200"/>
      <c r="L139" s="200"/>
      <c r="M139" s="201"/>
      <c r="O139" s="199" t="s">
        <v>551</v>
      </c>
      <c r="P139" s="200"/>
      <c r="Q139" s="200"/>
      <c r="R139" s="200"/>
      <c r="S139" s="201"/>
    </row>
    <row r="140" spans="2:19" ht="28.2" thickBot="1" x14ac:dyDescent="0.35">
      <c r="I140" s="50" t="s">
        <v>221</v>
      </c>
      <c r="J140" s="51" t="s">
        <v>164</v>
      </c>
      <c r="K140" s="52" t="s">
        <v>165</v>
      </c>
      <c r="L140" s="71" t="s">
        <v>222</v>
      </c>
      <c r="M140" s="55" t="s">
        <v>169</v>
      </c>
      <c r="O140" s="50" t="s">
        <v>221</v>
      </c>
      <c r="P140" s="51" t="s">
        <v>164</v>
      </c>
      <c r="Q140" s="52" t="s">
        <v>165</v>
      </c>
      <c r="R140" s="71" t="s">
        <v>222</v>
      </c>
      <c r="S140" s="55" t="s">
        <v>169</v>
      </c>
    </row>
    <row r="141" spans="2:19" ht="15" thickBot="1" x14ac:dyDescent="0.35">
      <c r="H141" s="38" t="s">
        <v>161</v>
      </c>
      <c r="I141" s="46">
        <v>6.49</v>
      </c>
      <c r="J141" s="47">
        <v>6.8000000000000005E-2</v>
      </c>
      <c r="K141" s="48">
        <v>0.03</v>
      </c>
      <c r="L141" s="68">
        <v>1166</v>
      </c>
      <c r="M141" s="56"/>
      <c r="O141" s="46">
        <v>0.09</v>
      </c>
      <c r="P141" s="47">
        <v>5.0000000000000001E-3</v>
      </c>
      <c r="Q141" s="151">
        <v>0</v>
      </c>
      <c r="R141" s="68">
        <v>1098</v>
      </c>
      <c r="S141" s="56"/>
    </row>
    <row r="142" spans="2:19" ht="15" thickBot="1" x14ac:dyDescent="0.35">
      <c r="H142" s="38" t="s">
        <v>168</v>
      </c>
      <c r="I142" s="57">
        <f>I141*D115/1000000</f>
        <v>9.2807000000000011E-3</v>
      </c>
      <c r="J142" s="69">
        <f>J141*D116/1000000</f>
        <v>9.4054199999999994E-3</v>
      </c>
      <c r="K142" s="69">
        <f>K141*D117/1000000</f>
        <v>9.5999999999999991E-7</v>
      </c>
      <c r="L142" s="70">
        <f>L141*D118/1000000</f>
        <v>4.6640000000000001E-2</v>
      </c>
      <c r="M142" s="54">
        <f>I142+J142+K142+L142</f>
        <v>6.532708000000001E-2</v>
      </c>
      <c r="O142" s="57">
        <f>O141*D115/1000000</f>
        <v>1.2869999999999998E-4</v>
      </c>
      <c r="P142" s="69">
        <f>P141*D116/1000000</f>
        <v>6.9157500000000005E-4</v>
      </c>
      <c r="Q142" s="69">
        <f>Q141*D117/1000000</f>
        <v>0</v>
      </c>
      <c r="R142" s="70">
        <f>R141*D118/1000000</f>
        <v>4.3920000000000001E-2</v>
      </c>
      <c r="S142" s="54">
        <f>O142+P142+Q142+R142</f>
        <v>4.4740275000000003E-2</v>
      </c>
    </row>
    <row r="143" spans="2:19" ht="15" x14ac:dyDescent="0.25">
      <c r="H143" s="38"/>
      <c r="I143" s="104"/>
      <c r="J143" s="104"/>
      <c r="K143" s="104"/>
      <c r="L143" s="104"/>
      <c r="M143" s="148"/>
    </row>
    <row r="144" spans="2:19" ht="15" x14ac:dyDescent="0.25">
      <c r="H144" s="38"/>
      <c r="I144" s="104"/>
      <c r="J144" s="104"/>
      <c r="K144" s="104"/>
      <c r="L144" s="104"/>
      <c r="M144" s="148"/>
    </row>
    <row r="145" spans="2:13" ht="15" x14ac:dyDescent="0.25">
      <c r="H145" s="38"/>
      <c r="I145" s="104"/>
      <c r="J145" s="104"/>
      <c r="K145" s="104"/>
      <c r="L145" s="104"/>
      <c r="M145" s="148"/>
    </row>
    <row r="146" spans="2:13" ht="15" x14ac:dyDescent="0.25">
      <c r="H146" s="38"/>
      <c r="I146" s="104"/>
      <c r="J146" s="104"/>
      <c r="K146" s="104"/>
      <c r="L146" s="104"/>
      <c r="M146" s="148"/>
    </row>
    <row r="148" spans="2:13" ht="18" x14ac:dyDescent="0.35">
      <c r="B148" s="23" t="s">
        <v>108</v>
      </c>
      <c r="C148" s="21"/>
      <c r="D148" s="21"/>
      <c r="E148" s="21"/>
      <c r="F148" s="21"/>
    </row>
    <row r="150" spans="2:13" x14ac:dyDescent="0.3">
      <c r="B150" s="1" t="s">
        <v>109</v>
      </c>
    </row>
    <row r="151" spans="2:13" x14ac:dyDescent="0.3">
      <c r="B151" s="2" t="s">
        <v>2</v>
      </c>
      <c r="C151" s="2" t="s">
        <v>121</v>
      </c>
    </row>
    <row r="152" spans="2:13" ht="15" x14ac:dyDescent="0.25">
      <c r="B152" s="2"/>
      <c r="C152" s="118" t="s">
        <v>409</v>
      </c>
    </row>
    <row r="153" spans="2:13" ht="15" x14ac:dyDescent="0.25">
      <c r="B153" s="2"/>
      <c r="C153" s="118"/>
    </row>
    <row r="154" spans="2:13" x14ac:dyDescent="0.3">
      <c r="B154" s="2" t="s">
        <v>412</v>
      </c>
      <c r="C154" s="118"/>
    </row>
    <row r="155" spans="2:13" ht="15" x14ac:dyDescent="0.25">
      <c r="B155" s="2"/>
      <c r="C155" s="94"/>
    </row>
    <row r="156" spans="2:13" ht="15" x14ac:dyDescent="0.25">
      <c r="C156" s="4"/>
      <c r="D156" s="203" t="s">
        <v>116</v>
      </c>
      <c r="E156" s="203"/>
    </row>
    <row r="157" spans="2:13" x14ac:dyDescent="0.3">
      <c r="C157" s="8" t="s">
        <v>413</v>
      </c>
      <c r="D157" s="8" t="s">
        <v>118</v>
      </c>
      <c r="E157" s="8" t="s">
        <v>119</v>
      </c>
    </row>
    <row r="158" spans="2:13" x14ac:dyDescent="0.3">
      <c r="C158" t="s">
        <v>114</v>
      </c>
      <c r="D158" s="15">
        <v>4200</v>
      </c>
      <c r="E158" s="15">
        <v>4200</v>
      </c>
    </row>
    <row r="159" spans="2:13" x14ac:dyDescent="0.3">
      <c r="C159" t="s">
        <v>117</v>
      </c>
      <c r="D159" s="15">
        <v>7000</v>
      </c>
      <c r="E159" s="15">
        <v>10000</v>
      </c>
    </row>
    <row r="160" spans="2:13" x14ac:dyDescent="0.3">
      <c r="C160" t="s">
        <v>120</v>
      </c>
      <c r="D160" s="15">
        <v>20000</v>
      </c>
      <c r="E160" s="15">
        <v>20000</v>
      </c>
    </row>
    <row r="161" spans="2:6" x14ac:dyDescent="0.3">
      <c r="C161" t="s">
        <v>122</v>
      </c>
      <c r="D161" s="15">
        <v>25000</v>
      </c>
      <c r="E161" s="15">
        <v>40000</v>
      </c>
    </row>
    <row r="162" spans="2:6" x14ac:dyDescent="0.3">
      <c r="C162" t="s">
        <v>123</v>
      </c>
      <c r="D162" s="15">
        <v>35000</v>
      </c>
      <c r="E162" s="15">
        <v>50000</v>
      </c>
    </row>
    <row r="163" spans="2:6" ht="15" x14ac:dyDescent="0.25">
      <c r="D163" s="15"/>
      <c r="E163" s="15"/>
    </row>
    <row r="164" spans="2:6" x14ac:dyDescent="0.3">
      <c r="C164" s="53" t="s">
        <v>191</v>
      </c>
      <c r="D164" s="63">
        <v>20000</v>
      </c>
    </row>
    <row r="167" spans="2:6" x14ac:dyDescent="0.3">
      <c r="B167" s="1" t="s">
        <v>234</v>
      </c>
    </row>
    <row r="168" spans="2:6" x14ac:dyDescent="0.3">
      <c r="B168" s="1"/>
      <c r="C168" s="22" t="s">
        <v>246</v>
      </c>
    </row>
    <row r="169" spans="2:6" x14ac:dyDescent="0.3">
      <c r="B169" s="1"/>
      <c r="C169" s="22" t="s">
        <v>244</v>
      </c>
    </row>
    <row r="170" spans="2:6" ht="15" x14ac:dyDescent="0.25">
      <c r="B170" s="1"/>
      <c r="C170" s="22"/>
    </row>
    <row r="171" spans="2:6" ht="30" x14ac:dyDescent="0.25">
      <c r="C171" s="8"/>
      <c r="D171" s="19" t="s">
        <v>235</v>
      </c>
      <c r="E171" s="19" t="s">
        <v>236</v>
      </c>
    </row>
    <row r="172" spans="2:6" x14ac:dyDescent="0.3">
      <c r="C172" t="s">
        <v>237</v>
      </c>
      <c r="E172">
        <v>680</v>
      </c>
      <c r="F172" s="2" t="s">
        <v>241</v>
      </c>
    </row>
    <row r="173" spans="2:6" x14ac:dyDescent="0.3">
      <c r="C173" t="s">
        <v>238</v>
      </c>
      <c r="D173" s="38" t="s">
        <v>239</v>
      </c>
      <c r="E173">
        <f>AVERAGE(260,330)*12</f>
        <v>3540</v>
      </c>
      <c r="F173" s="2" t="s">
        <v>243</v>
      </c>
    </row>
    <row r="174" spans="2:6" x14ac:dyDescent="0.3">
      <c r="C174" s="8" t="s">
        <v>240</v>
      </c>
      <c r="D174" s="8">
        <v>165</v>
      </c>
      <c r="E174" s="8">
        <f>D174*12</f>
        <v>1980</v>
      </c>
      <c r="F174" s="2" t="s">
        <v>243</v>
      </c>
    </row>
    <row r="175" spans="2:6" ht="15" x14ac:dyDescent="0.25">
      <c r="C175" s="53" t="s">
        <v>242</v>
      </c>
      <c r="D175" s="53">
        <v>100</v>
      </c>
      <c r="E175" s="53">
        <f>D175*12</f>
        <v>1200</v>
      </c>
    </row>
    <row r="177" spans="2:4" x14ac:dyDescent="0.3">
      <c r="C177" t="s">
        <v>245</v>
      </c>
    </row>
    <row r="180" spans="2:4" x14ac:dyDescent="0.3">
      <c r="B180" s="1" t="s">
        <v>110</v>
      </c>
    </row>
    <row r="181" spans="2:4" x14ac:dyDescent="0.3">
      <c r="B181" s="2" t="s">
        <v>2</v>
      </c>
      <c r="C181" s="2" t="s">
        <v>411</v>
      </c>
      <c r="D181" s="37"/>
    </row>
    <row r="182" spans="2:4" ht="15" x14ac:dyDescent="0.25">
      <c r="B182" s="2"/>
      <c r="C182" s="2" t="s">
        <v>410</v>
      </c>
    </row>
    <row r="183" spans="2:4" ht="15" x14ac:dyDescent="0.25">
      <c r="B183" s="2" t="s">
        <v>113</v>
      </c>
    </row>
    <row r="184" spans="2:4" ht="16.2" x14ac:dyDescent="0.3">
      <c r="C184" s="8" t="s">
        <v>110</v>
      </c>
      <c r="D184" s="8" t="s">
        <v>115</v>
      </c>
    </row>
    <row r="185" spans="2:4" ht="15" x14ac:dyDescent="0.25">
      <c r="C185" t="s">
        <v>111</v>
      </c>
      <c r="D185" s="53">
        <v>12</v>
      </c>
    </row>
    <row r="186" spans="2:4" x14ac:dyDescent="0.3">
      <c r="C186" t="s">
        <v>112</v>
      </c>
      <c r="D186">
        <v>30</v>
      </c>
    </row>
    <row r="187" spans="2:4" x14ac:dyDescent="0.3">
      <c r="C187" s="8" t="s">
        <v>92</v>
      </c>
      <c r="D187" s="8">
        <v>20</v>
      </c>
    </row>
    <row r="189" spans="2:4" x14ac:dyDescent="0.3">
      <c r="B189" t="s">
        <v>448</v>
      </c>
    </row>
    <row r="191" spans="2:4" x14ac:dyDescent="0.3">
      <c r="B191" t="s">
        <v>472</v>
      </c>
    </row>
    <row r="192" spans="2:4" x14ac:dyDescent="0.3">
      <c r="B192" t="s">
        <v>444</v>
      </c>
    </row>
    <row r="193" spans="2:5" x14ac:dyDescent="0.3">
      <c r="B193" t="s">
        <v>445</v>
      </c>
    </row>
    <row r="194" spans="2:5" x14ac:dyDescent="0.3">
      <c r="B194" t="s">
        <v>537</v>
      </c>
    </row>
    <row r="196" spans="2:5" ht="17.25" x14ac:dyDescent="0.25">
      <c r="C196" t="s">
        <v>470</v>
      </c>
      <c r="D196" s="89">
        <v>200</v>
      </c>
      <c r="E196" t="s">
        <v>471</v>
      </c>
    </row>
    <row r="198" spans="2:5" ht="15" x14ac:dyDescent="0.25">
      <c r="B198" s="1" t="s">
        <v>263</v>
      </c>
    </row>
    <row r="199" spans="2:5" x14ac:dyDescent="0.3">
      <c r="B199" s="2" t="s">
        <v>2</v>
      </c>
      <c r="C199" s="1" t="s">
        <v>249</v>
      </c>
    </row>
    <row r="200" spans="2:5" ht="15" x14ac:dyDescent="0.25">
      <c r="C200" s="2" t="s">
        <v>190</v>
      </c>
    </row>
    <row r="201" spans="2:5" ht="15" x14ac:dyDescent="0.25">
      <c r="C201" s="2"/>
    </row>
    <row r="202" spans="2:5" x14ac:dyDescent="0.3">
      <c r="B202" t="s">
        <v>189</v>
      </c>
    </row>
    <row r="204" spans="2:5" x14ac:dyDescent="0.3">
      <c r="C204" s="95" t="s">
        <v>183</v>
      </c>
      <c r="D204" s="60">
        <v>114176</v>
      </c>
    </row>
    <row r="205" spans="2:5" x14ac:dyDescent="0.3">
      <c r="C205" s="95" t="s">
        <v>184</v>
      </c>
      <c r="D205" s="60">
        <v>206004</v>
      </c>
    </row>
    <row r="206" spans="2:5" x14ac:dyDescent="0.3">
      <c r="C206" s="95" t="s">
        <v>185</v>
      </c>
      <c r="D206" s="60">
        <v>4040</v>
      </c>
    </row>
    <row r="207" spans="2:5" x14ac:dyDescent="0.3">
      <c r="C207" s="95" t="s">
        <v>186</v>
      </c>
      <c r="D207" s="60">
        <v>15200</v>
      </c>
    </row>
    <row r="208" spans="2:5" x14ac:dyDescent="0.3">
      <c r="C208" s="95" t="s">
        <v>187</v>
      </c>
      <c r="D208" s="60">
        <v>18040</v>
      </c>
    </row>
    <row r="209" spans="2:5" x14ac:dyDescent="0.3">
      <c r="C209" s="96" t="s">
        <v>188</v>
      </c>
      <c r="D209" s="61">
        <v>97397</v>
      </c>
    </row>
    <row r="210" spans="2:5" x14ac:dyDescent="0.3">
      <c r="C210" s="95" t="s">
        <v>169</v>
      </c>
      <c r="D210" s="15">
        <f>SUM(D204:D209)</f>
        <v>454857</v>
      </c>
    </row>
    <row r="214" spans="2:5" x14ac:dyDescent="0.3">
      <c r="B214" s="1" t="s">
        <v>427</v>
      </c>
    </row>
    <row r="215" spans="2:5" x14ac:dyDescent="0.3">
      <c r="B215" s="2" t="s">
        <v>2</v>
      </c>
      <c r="C215" s="2" t="s">
        <v>426</v>
      </c>
    </row>
    <row r="216" spans="2:5" x14ac:dyDescent="0.3">
      <c r="D216" t="s">
        <v>423</v>
      </c>
      <c r="E216" t="s">
        <v>536</v>
      </c>
    </row>
    <row r="217" spans="2:5" x14ac:dyDescent="0.3">
      <c r="C217" t="s">
        <v>422</v>
      </c>
      <c r="D217" s="15">
        <v>3385000</v>
      </c>
      <c r="E217" s="15"/>
    </row>
    <row r="218" spans="2:5" x14ac:dyDescent="0.3">
      <c r="C218" t="s">
        <v>424</v>
      </c>
      <c r="D218" s="15">
        <v>500000</v>
      </c>
      <c r="E218" s="15">
        <v>800000</v>
      </c>
    </row>
    <row r="219" spans="2:5" x14ac:dyDescent="0.3">
      <c r="C219" s="8" t="s">
        <v>425</v>
      </c>
      <c r="D219" s="122">
        <v>740000</v>
      </c>
      <c r="E219" s="122"/>
    </row>
    <row r="220" spans="2:5" x14ac:dyDescent="0.3">
      <c r="C220" t="s">
        <v>169</v>
      </c>
      <c r="D220" s="15">
        <f>SUM(D217:D219)</f>
        <v>4625000</v>
      </c>
      <c r="E220" s="15">
        <f>D217+E218+D219</f>
        <v>4925000</v>
      </c>
    </row>
  </sheetData>
  <mergeCells count="6">
    <mergeCell ref="O139:S139"/>
    <mergeCell ref="I139:M139"/>
    <mergeCell ref="I138:M138"/>
    <mergeCell ref="D156:E156"/>
    <mergeCell ref="I116:M116"/>
    <mergeCell ref="I127:M127"/>
  </mergeCells>
  <pageMargins left="0.7" right="0.7" top="0.75" bottom="0.75" header="0.3" footer="0.3"/>
  <pageSetup paperSize="9" orientation="portrait" horizontalDpi="300" verticalDpi="0" copies="0" r:id="rId1"/>
  <ignoredErrors>
    <ignoredError sqref="B103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3"/>
  <sheetViews>
    <sheetView workbookViewId="0">
      <selection activeCell="I21" sqref="I21"/>
    </sheetView>
  </sheetViews>
  <sheetFormatPr defaultRowHeight="14.4" x14ac:dyDescent="0.3"/>
  <cols>
    <col min="2" max="2" width="28.88671875" customWidth="1"/>
    <col min="3" max="6" width="9.88671875" bestFit="1" customWidth="1"/>
    <col min="8" max="8" width="24.44140625" customWidth="1"/>
    <col min="9" max="9" width="8.109375" customWidth="1"/>
    <col min="10" max="14" width="11" customWidth="1"/>
    <col min="15" max="15" width="9.88671875" bestFit="1" customWidth="1"/>
  </cols>
  <sheetData>
    <row r="1" spans="2:14" x14ac:dyDescent="0.3">
      <c r="B1" s="1" t="s">
        <v>616</v>
      </c>
      <c r="J1" s="89" t="s">
        <v>257</v>
      </c>
      <c r="K1" s="89"/>
      <c r="L1" s="89"/>
      <c r="M1" s="89"/>
      <c r="N1" s="89"/>
    </row>
    <row r="2" spans="2:14" ht="15" x14ac:dyDescent="0.25">
      <c r="B2" s="1" t="s">
        <v>617</v>
      </c>
    </row>
    <row r="3" spans="2:14" ht="15" x14ac:dyDescent="0.25">
      <c r="C3" s="183" t="s">
        <v>422</v>
      </c>
      <c r="D3" s="183" t="s">
        <v>424</v>
      </c>
      <c r="E3" s="183" t="s">
        <v>425</v>
      </c>
      <c r="F3" s="183" t="s">
        <v>652</v>
      </c>
      <c r="H3" s="1" t="s">
        <v>649</v>
      </c>
    </row>
    <row r="4" spans="2:14" x14ac:dyDescent="0.3">
      <c r="B4" s="6" t="s">
        <v>618</v>
      </c>
      <c r="C4" s="15">
        <v>11778</v>
      </c>
      <c r="D4" s="15">
        <f>D6-D5</f>
        <v>2199</v>
      </c>
      <c r="E4" s="187">
        <v>3490</v>
      </c>
      <c r="F4" s="15">
        <f>SUM(C4:E4)</f>
        <v>17467</v>
      </c>
      <c r="H4" t="s">
        <v>666</v>
      </c>
      <c r="I4" s="123">
        <v>15</v>
      </c>
      <c r="J4" s="123">
        <v>100</v>
      </c>
      <c r="K4" s="123">
        <v>1000</v>
      </c>
      <c r="L4" s="123">
        <v>2000</v>
      </c>
      <c r="M4" s="123">
        <v>5000</v>
      </c>
      <c r="N4" s="123">
        <v>8000</v>
      </c>
    </row>
    <row r="5" spans="2:14" ht="15" x14ac:dyDescent="0.25">
      <c r="B5" s="6" t="s">
        <v>619</v>
      </c>
      <c r="C5" s="15">
        <v>5206</v>
      </c>
      <c r="D5">
        <v>1301</v>
      </c>
      <c r="E5" s="28">
        <v>805</v>
      </c>
      <c r="F5" s="15">
        <f t="shared" ref="F5" si="0">SUM(C5:E5)</f>
        <v>7312</v>
      </c>
      <c r="H5" s="111" t="s">
        <v>651</v>
      </c>
      <c r="I5" s="111"/>
      <c r="J5" s="111"/>
      <c r="K5" s="111"/>
      <c r="L5" s="111"/>
      <c r="M5" s="111"/>
      <c r="N5" s="111"/>
    </row>
    <row r="6" spans="2:14" x14ac:dyDescent="0.3">
      <c r="B6" s="116" t="s">
        <v>620</v>
      </c>
      <c r="C6" s="117">
        <f>SUM(C4:C5)</f>
        <v>16984</v>
      </c>
      <c r="D6" s="117">
        <v>3500</v>
      </c>
      <c r="E6" s="117">
        <v>3500</v>
      </c>
      <c r="F6" s="117">
        <f>SUM(C6:E6)</f>
        <v>23984</v>
      </c>
      <c r="H6" s="193" t="s">
        <v>668</v>
      </c>
      <c r="I6" s="88">
        <v>0</v>
      </c>
      <c r="J6" s="88">
        <v>0.2</v>
      </c>
      <c r="K6" s="88">
        <v>0.5</v>
      </c>
      <c r="L6" s="88">
        <v>1</v>
      </c>
      <c r="M6" s="88">
        <v>1</v>
      </c>
      <c r="N6" s="88">
        <v>1</v>
      </c>
    </row>
    <row r="7" spans="2:14" ht="15" x14ac:dyDescent="0.25">
      <c r="H7" s="193" t="s">
        <v>669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</row>
    <row r="8" spans="2:14" ht="15" x14ac:dyDescent="0.25">
      <c r="B8" s="6" t="s">
        <v>621</v>
      </c>
      <c r="C8" s="15">
        <v>21484997</v>
      </c>
      <c r="D8" s="188"/>
      <c r="E8" s="15">
        <v>9537267</v>
      </c>
      <c r="F8" s="15">
        <f>SUM(C8:E8)</f>
        <v>31022264</v>
      </c>
      <c r="H8" t="s">
        <v>650</v>
      </c>
      <c r="I8" s="88">
        <v>0</v>
      </c>
      <c r="J8" s="88">
        <v>0.2</v>
      </c>
      <c r="K8" s="88">
        <v>0.5</v>
      </c>
      <c r="L8" s="88">
        <v>1</v>
      </c>
      <c r="M8" s="88">
        <v>1</v>
      </c>
      <c r="N8" s="88">
        <v>1</v>
      </c>
    </row>
    <row r="9" spans="2:14" ht="15" x14ac:dyDescent="0.25">
      <c r="B9" s="6" t="s">
        <v>622</v>
      </c>
      <c r="C9" s="15">
        <v>7693905</v>
      </c>
      <c r="D9" s="188"/>
      <c r="E9" s="15">
        <v>586830</v>
      </c>
      <c r="F9" s="15">
        <f>SUM(C9:E9)</f>
        <v>8280735</v>
      </c>
      <c r="H9" s="111" t="s">
        <v>433</v>
      </c>
      <c r="I9" s="88">
        <v>0</v>
      </c>
      <c r="J9" s="88">
        <v>0.5</v>
      </c>
      <c r="K9" s="88">
        <v>1</v>
      </c>
      <c r="L9" s="88">
        <v>1</v>
      </c>
      <c r="M9" s="88">
        <v>1</v>
      </c>
      <c r="N9" s="88">
        <v>1</v>
      </c>
    </row>
    <row r="10" spans="2:14" x14ac:dyDescent="0.3">
      <c r="B10" s="116" t="s">
        <v>647</v>
      </c>
      <c r="C10" s="117">
        <f>SUM(C8:C9)</f>
        <v>29178902</v>
      </c>
      <c r="D10" s="117">
        <v>10200000</v>
      </c>
      <c r="E10" s="117">
        <f>SUM(E8:E9)</f>
        <v>10124097</v>
      </c>
      <c r="F10" s="117">
        <f>SUM(C10:E10)</f>
        <v>49502999</v>
      </c>
    </row>
    <row r="12" spans="2:14" x14ac:dyDescent="0.3">
      <c r="B12" s="6" t="s">
        <v>644</v>
      </c>
      <c r="C12" s="15">
        <v>601710</v>
      </c>
      <c r="D12" s="188"/>
      <c r="E12" s="15">
        <v>319132</v>
      </c>
      <c r="F12" s="15">
        <f>SUM(C12:E12)</f>
        <v>920842</v>
      </c>
      <c r="H12" s="189" t="s">
        <v>653</v>
      </c>
    </row>
    <row r="13" spans="2:14" ht="15" x14ac:dyDescent="0.25">
      <c r="B13" s="6" t="s">
        <v>645</v>
      </c>
      <c r="C13" s="15">
        <v>96449</v>
      </c>
      <c r="D13" s="188"/>
      <c r="E13" s="15">
        <v>38919</v>
      </c>
      <c r="F13" s="15">
        <f t="shared" ref="F13" si="1">SUM(C13:E13)</f>
        <v>135368</v>
      </c>
      <c r="H13" s="22" t="s">
        <v>173</v>
      </c>
    </row>
    <row r="14" spans="2:14" x14ac:dyDescent="0.3">
      <c r="B14" s="116" t="s">
        <v>646</v>
      </c>
      <c r="C14" s="117">
        <f>SUM(C12:C13)</f>
        <v>698159</v>
      </c>
      <c r="D14" s="117">
        <v>480000</v>
      </c>
      <c r="E14" s="117">
        <f>SUM(E12:E13)</f>
        <v>358051</v>
      </c>
      <c r="F14" s="117">
        <f>SUM(C14:E14)</f>
        <v>1536210</v>
      </c>
      <c r="H14" s="22" t="s">
        <v>174</v>
      </c>
    </row>
    <row r="15" spans="2:14" x14ac:dyDescent="0.3">
      <c r="H15" t="s">
        <v>666</v>
      </c>
      <c r="I15" s="123">
        <v>15</v>
      </c>
      <c r="J15" s="123">
        <v>100</v>
      </c>
      <c r="K15" s="123">
        <v>1000</v>
      </c>
      <c r="L15" s="123">
        <v>2000</v>
      </c>
      <c r="M15" s="123">
        <v>5000</v>
      </c>
      <c r="N15" s="123">
        <v>8000</v>
      </c>
    </row>
    <row r="16" spans="2:14" ht="15" x14ac:dyDescent="0.25">
      <c r="B16" s="6" t="s">
        <v>623</v>
      </c>
      <c r="C16">
        <v>2.5</v>
      </c>
      <c r="D16">
        <v>3</v>
      </c>
      <c r="E16" s="28">
        <v>2</v>
      </c>
      <c r="F16" s="15">
        <f>SUM(C16:E16)</f>
        <v>7.5</v>
      </c>
      <c r="H16" s="111" t="s">
        <v>651</v>
      </c>
      <c r="I16" s="111"/>
      <c r="J16" s="111"/>
      <c r="K16" s="111"/>
      <c r="L16" s="111"/>
      <c r="M16" s="111"/>
      <c r="N16" s="111"/>
    </row>
    <row r="17" spans="2:14" ht="15" x14ac:dyDescent="0.25">
      <c r="B17" s="6" t="s">
        <v>624</v>
      </c>
      <c r="C17" s="15">
        <f>C16*C14</f>
        <v>1745397.5</v>
      </c>
      <c r="D17" s="15">
        <f>D16*D14</f>
        <v>1440000</v>
      </c>
      <c r="E17" s="15">
        <f>E16*E14</f>
        <v>716102</v>
      </c>
      <c r="F17" s="15">
        <f t="shared" ref="F17" si="2">SUM(C17:E17)</f>
        <v>3901499.5</v>
      </c>
      <c r="H17" s="193" t="s">
        <v>668</v>
      </c>
      <c r="I17" s="194">
        <f t="shared" ref="I17:N17" si="3">-I6*$F$9</f>
        <v>0</v>
      </c>
      <c r="J17" s="194">
        <f t="shared" si="3"/>
        <v>-1656147</v>
      </c>
      <c r="K17" s="194">
        <f t="shared" si="3"/>
        <v>-4140367.5</v>
      </c>
      <c r="L17" s="194">
        <f t="shared" si="3"/>
        <v>-8280735</v>
      </c>
      <c r="M17" s="194">
        <f t="shared" si="3"/>
        <v>-8280735</v>
      </c>
      <c r="N17" s="194">
        <f t="shared" si="3"/>
        <v>-8280735</v>
      </c>
    </row>
    <row r="18" spans="2:14" ht="15" x14ac:dyDescent="0.25">
      <c r="B18" s="116" t="s">
        <v>648</v>
      </c>
      <c r="C18" s="117">
        <f>C17+C10</f>
        <v>30924299.5</v>
      </c>
      <c r="D18" s="117">
        <f>D17+D10</f>
        <v>11640000</v>
      </c>
      <c r="E18" s="117">
        <f>E17+E10</f>
        <v>10840199</v>
      </c>
      <c r="F18" s="117">
        <f>SUM(C18:E18)</f>
        <v>53404498.5</v>
      </c>
      <c r="H18" s="193" t="s">
        <v>669</v>
      </c>
      <c r="I18" s="194">
        <f t="shared" ref="I18:N18" si="4">-I7*$F$8</f>
        <v>0</v>
      </c>
      <c r="J18" s="194">
        <f t="shared" si="4"/>
        <v>0</v>
      </c>
      <c r="K18" s="194">
        <f t="shared" si="4"/>
        <v>0</v>
      </c>
      <c r="L18" s="194">
        <f t="shared" si="4"/>
        <v>0</v>
      </c>
      <c r="M18" s="194">
        <f t="shared" si="4"/>
        <v>0</v>
      </c>
      <c r="N18" s="194">
        <f t="shared" si="4"/>
        <v>0</v>
      </c>
    </row>
    <row r="19" spans="2:14" ht="15" x14ac:dyDescent="0.25">
      <c r="E19" s="38" t="s">
        <v>679</v>
      </c>
      <c r="H19" t="s">
        <v>650</v>
      </c>
      <c r="I19" s="15">
        <f t="shared" ref="I19:N20" si="5">-I8*$F$10</f>
        <v>0</v>
      </c>
      <c r="J19" s="15">
        <f t="shared" si="5"/>
        <v>-9900599.8000000007</v>
      </c>
      <c r="K19" s="15">
        <f t="shared" si="5"/>
        <v>-24751499.5</v>
      </c>
      <c r="L19" s="15">
        <f t="shared" si="5"/>
        <v>-49502999</v>
      </c>
      <c r="M19" s="15">
        <f t="shared" si="5"/>
        <v>-49502999</v>
      </c>
      <c r="N19" s="15">
        <f t="shared" si="5"/>
        <v>-49502999</v>
      </c>
    </row>
    <row r="20" spans="2:14" x14ac:dyDescent="0.3">
      <c r="B20" s="116" t="s">
        <v>625</v>
      </c>
      <c r="C20" s="182">
        <f>C18/C14</f>
        <v>44.294064102876277</v>
      </c>
      <c r="D20" s="182">
        <f>D18/D14</f>
        <v>24.25</v>
      </c>
      <c r="E20" s="182">
        <f>E18/E14</f>
        <v>30.27557247431232</v>
      </c>
      <c r="H20" s="111" t="s">
        <v>433</v>
      </c>
      <c r="I20" s="194">
        <f t="shared" si="5"/>
        <v>0</v>
      </c>
      <c r="J20" s="194">
        <f t="shared" si="5"/>
        <v>-24751499.5</v>
      </c>
      <c r="K20" s="194">
        <f t="shared" si="5"/>
        <v>-49502999</v>
      </c>
      <c r="L20" s="194">
        <f t="shared" si="5"/>
        <v>-49502999</v>
      </c>
      <c r="M20" s="194">
        <f t="shared" si="5"/>
        <v>-49502999</v>
      </c>
      <c r="N20" s="194">
        <f t="shared" si="5"/>
        <v>-49502999</v>
      </c>
    </row>
    <row r="22" spans="2:14" x14ac:dyDescent="0.3">
      <c r="B22" t="s">
        <v>680</v>
      </c>
    </row>
    <row r="25" spans="2:14" x14ac:dyDescent="0.3">
      <c r="B25" s="171" t="s">
        <v>573</v>
      </c>
    </row>
    <row r="26" spans="2:14" x14ac:dyDescent="0.3">
      <c r="B26" s="49" t="s">
        <v>626</v>
      </c>
    </row>
    <row r="27" spans="2:14" x14ac:dyDescent="0.3">
      <c r="B27" s="4" t="s">
        <v>627</v>
      </c>
    </row>
    <row r="28" spans="2:14" x14ac:dyDescent="0.3">
      <c r="B28" s="4" t="s">
        <v>629</v>
      </c>
    </row>
    <row r="29" spans="2:14" x14ac:dyDescent="0.3">
      <c r="B29" s="4" t="s">
        <v>628</v>
      </c>
    </row>
    <row r="30" spans="2:14" x14ac:dyDescent="0.3">
      <c r="B30" s="4" t="s">
        <v>630</v>
      </c>
    </row>
    <row r="31" spans="2:14" x14ac:dyDescent="0.3">
      <c r="B31" s="4" t="s">
        <v>631</v>
      </c>
    </row>
    <row r="32" spans="2:14" x14ac:dyDescent="0.3">
      <c r="B32" s="4" t="s">
        <v>642</v>
      </c>
    </row>
    <row r="33" spans="2:2" x14ac:dyDescent="0.3">
      <c r="B33" s="4" t="s">
        <v>632</v>
      </c>
    </row>
    <row r="34" spans="2:2" x14ac:dyDescent="0.3">
      <c r="B34" s="4"/>
    </row>
    <row r="35" spans="2:2" x14ac:dyDescent="0.3">
      <c r="B35" s="4" t="s">
        <v>633</v>
      </c>
    </row>
    <row r="36" spans="2:2" x14ac:dyDescent="0.3">
      <c r="B36" s="4" t="s">
        <v>634</v>
      </c>
    </row>
    <row r="37" spans="2:2" x14ac:dyDescent="0.3">
      <c r="B37" s="172" t="s">
        <v>635</v>
      </c>
    </row>
    <row r="38" spans="2:2" x14ac:dyDescent="0.3">
      <c r="B38" s="4" t="s">
        <v>643</v>
      </c>
    </row>
    <row r="39" spans="2:2" x14ac:dyDescent="0.3">
      <c r="B39" t="s">
        <v>636</v>
      </c>
    </row>
    <row r="40" spans="2:2" x14ac:dyDescent="0.3">
      <c r="B40" t="s">
        <v>637</v>
      </c>
    </row>
    <row r="41" spans="2:2" x14ac:dyDescent="0.3">
      <c r="B41" s="4" t="s">
        <v>638</v>
      </c>
    </row>
    <row r="42" spans="2:2" x14ac:dyDescent="0.3">
      <c r="B42" s="186" t="s">
        <v>639</v>
      </c>
    </row>
    <row r="43" spans="2:2" x14ac:dyDescent="0.3">
      <c r="B43" s="186" t="s">
        <v>640</v>
      </c>
    </row>
    <row r="44" spans="2:2" x14ac:dyDescent="0.3">
      <c r="B44" s="186" t="s">
        <v>641</v>
      </c>
    </row>
    <row r="51" spans="2:2" x14ac:dyDescent="0.3">
      <c r="B51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4"/>
  <sheetViews>
    <sheetView topLeftCell="A49" workbookViewId="0">
      <selection activeCell="B86" sqref="B86"/>
    </sheetView>
  </sheetViews>
  <sheetFormatPr defaultRowHeight="14.4" x14ac:dyDescent="0.3"/>
  <cols>
    <col min="1" max="1" width="4.33203125" customWidth="1"/>
    <col min="2" max="2" width="134.88671875" customWidth="1"/>
  </cols>
  <sheetData>
    <row r="2" spans="2:2" ht="21" x14ac:dyDescent="0.35">
      <c r="B2" s="14" t="s">
        <v>8</v>
      </c>
    </row>
    <row r="3" spans="2:2" x14ac:dyDescent="0.3">
      <c r="B3" s="3" t="s">
        <v>384</v>
      </c>
    </row>
    <row r="5" spans="2:2" ht="15" x14ac:dyDescent="0.25">
      <c r="B5" s="1" t="s">
        <v>9</v>
      </c>
    </row>
    <row r="6" spans="2:2" x14ac:dyDescent="0.3">
      <c r="B6" s="4" t="s">
        <v>10</v>
      </c>
    </row>
    <row r="7" spans="2:2" x14ac:dyDescent="0.3">
      <c r="B7" t="s">
        <v>11</v>
      </c>
    </row>
    <row r="8" spans="2:2" x14ac:dyDescent="0.3">
      <c r="B8" t="s">
        <v>12</v>
      </c>
    </row>
    <row r="9" spans="2:2" ht="15" x14ac:dyDescent="0.25">
      <c r="B9" s="4" t="s">
        <v>13</v>
      </c>
    </row>
    <row r="10" spans="2:2" x14ac:dyDescent="0.3">
      <c r="B10" s="4" t="s">
        <v>14</v>
      </c>
    </row>
    <row r="11" spans="2:2" x14ac:dyDescent="0.3">
      <c r="B11" s="5" t="s">
        <v>15</v>
      </c>
    </row>
    <row r="12" spans="2:2" x14ac:dyDescent="0.3">
      <c r="B12" s="5" t="s">
        <v>16</v>
      </c>
    </row>
    <row r="14" spans="2:2" ht="28.8" x14ac:dyDescent="0.3">
      <c r="B14" s="6" t="s">
        <v>607</v>
      </c>
    </row>
    <row r="17" spans="2:2" x14ac:dyDescent="0.3">
      <c r="B17" s="1" t="s">
        <v>17</v>
      </c>
    </row>
    <row r="18" spans="2:2" x14ac:dyDescent="0.3">
      <c r="B18" t="s">
        <v>264</v>
      </c>
    </row>
    <row r="19" spans="2:2" ht="28.8" x14ac:dyDescent="0.3">
      <c r="B19" s="6" t="s">
        <v>18</v>
      </c>
    </row>
    <row r="21" spans="2:2" x14ac:dyDescent="0.3">
      <c r="B21" t="s">
        <v>19</v>
      </c>
    </row>
    <row r="22" spans="2:2" x14ac:dyDescent="0.3">
      <c r="B22" s="4" t="s">
        <v>21</v>
      </c>
    </row>
    <row r="23" spans="2:2" ht="28.8" x14ac:dyDescent="0.3">
      <c r="B23" s="7" t="s">
        <v>27</v>
      </c>
    </row>
    <row r="24" spans="2:2" ht="28.8" x14ac:dyDescent="0.3">
      <c r="B24" s="7" t="s">
        <v>20</v>
      </c>
    </row>
    <row r="25" spans="2:2" x14ac:dyDescent="0.3">
      <c r="B25" s="7" t="s">
        <v>22</v>
      </c>
    </row>
    <row r="26" spans="2:2" ht="28.8" x14ac:dyDescent="0.3">
      <c r="B26" s="7" t="s">
        <v>28</v>
      </c>
    </row>
    <row r="28" spans="2:2" ht="28.8" x14ac:dyDescent="0.3">
      <c r="B28" s="6" t="s">
        <v>454</v>
      </c>
    </row>
    <row r="29" spans="2:2" ht="15" x14ac:dyDescent="0.25">
      <c r="B29" s="6"/>
    </row>
    <row r="30" spans="2:2" ht="15" x14ac:dyDescent="0.25">
      <c r="B30" s="6"/>
    </row>
    <row r="31" spans="2:2" x14ac:dyDescent="0.3">
      <c r="B31" s="116" t="s">
        <v>452</v>
      </c>
    </row>
    <row r="32" spans="2:2" x14ac:dyDescent="0.3">
      <c r="B32" t="s">
        <v>453</v>
      </c>
    </row>
    <row r="33" spans="2:2" x14ac:dyDescent="0.3">
      <c r="B33" t="s">
        <v>455</v>
      </c>
    </row>
    <row r="34" spans="2:2" x14ac:dyDescent="0.3">
      <c r="B34" t="s">
        <v>456</v>
      </c>
    </row>
    <row r="35" spans="2:2" x14ac:dyDescent="0.3">
      <c r="B35" t="s">
        <v>458</v>
      </c>
    </row>
    <row r="36" spans="2:2" x14ac:dyDescent="0.3">
      <c r="B36" t="s">
        <v>457</v>
      </c>
    </row>
    <row r="39" spans="2:2" ht="15" x14ac:dyDescent="0.25">
      <c r="B39" s="1" t="s">
        <v>23</v>
      </c>
    </row>
    <row r="40" spans="2:2" x14ac:dyDescent="0.3">
      <c r="B40" t="s">
        <v>25</v>
      </c>
    </row>
    <row r="41" spans="2:2" x14ac:dyDescent="0.3">
      <c r="B41" s="4" t="s">
        <v>24</v>
      </c>
    </row>
    <row r="42" spans="2:2" x14ac:dyDescent="0.3">
      <c r="B42" s="4" t="s">
        <v>26</v>
      </c>
    </row>
    <row r="43" spans="2:2" ht="15" x14ac:dyDescent="0.25">
      <c r="B43" s="4" t="s">
        <v>32</v>
      </c>
    </row>
    <row r="44" spans="2:2" ht="15" x14ac:dyDescent="0.25">
      <c r="B44" s="4" t="s">
        <v>31</v>
      </c>
    </row>
    <row r="46" spans="2:2" x14ac:dyDescent="0.3">
      <c r="B46" t="s">
        <v>29</v>
      </c>
    </row>
    <row r="47" spans="2:2" x14ac:dyDescent="0.3">
      <c r="B47" s="4" t="s">
        <v>33</v>
      </c>
    </row>
    <row r="48" spans="2:2" x14ac:dyDescent="0.3">
      <c r="B48" s="4" t="s">
        <v>30</v>
      </c>
    </row>
    <row r="49" spans="2:2" x14ac:dyDescent="0.3">
      <c r="B49" s="4" t="s">
        <v>266</v>
      </c>
    </row>
    <row r="50" spans="2:2" x14ac:dyDescent="0.3">
      <c r="B50" s="4" t="s">
        <v>265</v>
      </c>
    </row>
    <row r="52" spans="2:2" x14ac:dyDescent="0.3">
      <c r="B52" s="4" t="s">
        <v>267</v>
      </c>
    </row>
    <row r="53" spans="2:2" x14ac:dyDescent="0.3">
      <c r="B53" t="s">
        <v>268</v>
      </c>
    </row>
    <row r="56" spans="2:2" ht="15" x14ac:dyDescent="0.25">
      <c r="B56" s="1" t="s">
        <v>87</v>
      </c>
    </row>
    <row r="57" spans="2:2" x14ac:dyDescent="0.3">
      <c r="B57" t="s">
        <v>85</v>
      </c>
    </row>
    <row r="58" spans="2:2" x14ac:dyDescent="0.3">
      <c r="B58" t="s">
        <v>86</v>
      </c>
    </row>
    <row r="59" spans="2:2" ht="28.8" x14ac:dyDescent="0.3">
      <c r="B59" s="6" t="s">
        <v>97</v>
      </c>
    </row>
    <row r="62" spans="2:2" ht="15" x14ac:dyDescent="0.25">
      <c r="B62" s="171"/>
    </row>
    <row r="64" spans="2:2" ht="15" x14ac:dyDescent="0.25">
      <c r="B64" s="4"/>
    </row>
    <row r="65" spans="2:2" ht="15" x14ac:dyDescent="0.25">
      <c r="B65" s="4"/>
    </row>
    <row r="71" spans="2:2" x14ac:dyDescent="0.3">
      <c r="B71" s="4"/>
    </row>
    <row r="72" spans="2:2" x14ac:dyDescent="0.3">
      <c r="B72" s="4"/>
    </row>
    <row r="73" spans="2:2" x14ac:dyDescent="0.3">
      <c r="B73" s="172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  <row r="83" spans="2:2" x14ac:dyDescent="0.3">
      <c r="B83" s="4"/>
    </row>
    <row r="84" spans="2:2" x14ac:dyDescent="0.3">
      <c r="B8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topLeftCell="A34" workbookViewId="0"/>
  </sheetViews>
  <sheetFormatPr defaultRowHeight="14.4" x14ac:dyDescent="0.3"/>
  <cols>
    <col min="2" max="2" width="53.6640625" customWidth="1"/>
    <col min="3" max="3" width="31" customWidth="1"/>
    <col min="4" max="4" width="12" customWidth="1"/>
  </cols>
  <sheetData>
    <row r="2" spans="1:2" x14ac:dyDescent="0.3">
      <c r="A2" t="s">
        <v>344</v>
      </c>
    </row>
    <row r="3" spans="1:2" x14ac:dyDescent="0.3">
      <c r="A3" t="s">
        <v>538</v>
      </c>
    </row>
    <row r="5" spans="1:2" x14ac:dyDescent="0.3">
      <c r="A5" t="s">
        <v>343</v>
      </c>
    </row>
    <row r="6" spans="1:2" x14ac:dyDescent="0.3">
      <c r="A6" t="s">
        <v>345</v>
      </c>
    </row>
    <row r="7" spans="1:2" x14ac:dyDescent="0.3">
      <c r="A7" t="s">
        <v>346</v>
      </c>
    </row>
    <row r="8" spans="1:2" x14ac:dyDescent="0.3">
      <c r="A8" t="s">
        <v>347</v>
      </c>
    </row>
    <row r="10" spans="1:2" x14ac:dyDescent="0.3">
      <c r="A10" t="s">
        <v>539</v>
      </c>
    </row>
    <row r="11" spans="1:2" x14ac:dyDescent="0.3">
      <c r="A11" t="s">
        <v>379</v>
      </c>
    </row>
    <row r="14" spans="1:2" x14ac:dyDescent="0.3">
      <c r="A14" s="2" t="s">
        <v>290</v>
      </c>
    </row>
    <row r="15" spans="1:2" x14ac:dyDescent="0.3">
      <c r="B15" s="2" t="s">
        <v>291</v>
      </c>
    </row>
    <row r="16" spans="1:2" ht="15" x14ac:dyDescent="0.25">
      <c r="B16" s="2" t="s">
        <v>293</v>
      </c>
    </row>
    <row r="17" spans="2:8" ht="15" x14ac:dyDescent="0.25">
      <c r="B17" s="2" t="s">
        <v>292</v>
      </c>
    </row>
    <row r="18" spans="2:8" ht="15" x14ac:dyDescent="0.25">
      <c r="B18" s="2" t="s">
        <v>294</v>
      </c>
    </row>
    <row r="20" spans="2:8" x14ac:dyDescent="0.3">
      <c r="B20" s="2" t="s">
        <v>305</v>
      </c>
    </row>
    <row r="21" spans="2:8" x14ac:dyDescent="0.3">
      <c r="B21" s="109" t="s">
        <v>332</v>
      </c>
      <c r="D21" t="s">
        <v>296</v>
      </c>
      <c r="F21" s="138" t="s">
        <v>302</v>
      </c>
      <c r="G21" s="24"/>
    </row>
    <row r="22" spans="2:8" x14ac:dyDescent="0.3">
      <c r="B22" s="8" t="s">
        <v>295</v>
      </c>
      <c r="C22" s="8" t="s">
        <v>378</v>
      </c>
      <c r="D22" s="8" t="s">
        <v>297</v>
      </c>
      <c r="F22" s="139"/>
      <c r="G22" s="141" t="s">
        <v>542</v>
      </c>
      <c r="H22" s="8" t="s">
        <v>540</v>
      </c>
    </row>
    <row r="23" spans="2:8" ht="15" x14ac:dyDescent="0.25">
      <c r="B23" t="s">
        <v>298</v>
      </c>
      <c r="C23" t="s">
        <v>299</v>
      </c>
      <c r="D23">
        <v>300</v>
      </c>
      <c r="F23" s="138" t="s">
        <v>303</v>
      </c>
      <c r="G23" s="24"/>
    </row>
    <row r="24" spans="2:8" x14ac:dyDescent="0.3">
      <c r="B24" t="s">
        <v>300</v>
      </c>
      <c r="C24" t="s">
        <v>301</v>
      </c>
      <c r="D24">
        <v>120</v>
      </c>
      <c r="F24" s="138" t="s">
        <v>303</v>
      </c>
      <c r="G24" s="24"/>
    </row>
    <row r="25" spans="2:8" x14ac:dyDescent="0.3">
      <c r="B25" t="s">
        <v>304</v>
      </c>
      <c r="C25" t="s">
        <v>306</v>
      </c>
      <c r="D25">
        <v>20</v>
      </c>
      <c r="F25" s="138" t="s">
        <v>459</v>
      </c>
      <c r="G25" s="24"/>
      <c r="H25" t="s">
        <v>541</v>
      </c>
    </row>
    <row r="26" spans="2:8" x14ac:dyDescent="0.3">
      <c r="B26" t="s">
        <v>308</v>
      </c>
      <c r="C26" t="s">
        <v>309</v>
      </c>
      <c r="D26">
        <v>40</v>
      </c>
      <c r="F26" s="138" t="s">
        <v>303</v>
      </c>
      <c r="G26" s="24"/>
    </row>
    <row r="27" spans="2:8" x14ac:dyDescent="0.3">
      <c r="B27" t="s">
        <v>310</v>
      </c>
      <c r="C27" t="s">
        <v>299</v>
      </c>
      <c r="D27">
        <v>150</v>
      </c>
      <c r="F27" s="138" t="s">
        <v>303</v>
      </c>
      <c r="G27" s="24"/>
    </row>
    <row r="28" spans="2:8" x14ac:dyDescent="0.3">
      <c r="B28" t="s">
        <v>311</v>
      </c>
      <c r="C28" t="s">
        <v>299</v>
      </c>
      <c r="D28">
        <f>801+15</f>
        <v>816</v>
      </c>
      <c r="F28" s="138" t="s">
        <v>303</v>
      </c>
      <c r="G28" s="24"/>
    </row>
    <row r="29" spans="2:8" ht="15" x14ac:dyDescent="0.25">
      <c r="B29" t="s">
        <v>312</v>
      </c>
      <c r="C29" t="s">
        <v>299</v>
      </c>
      <c r="D29">
        <v>956</v>
      </c>
      <c r="F29" s="138" t="s">
        <v>303</v>
      </c>
      <c r="G29" s="24"/>
    </row>
    <row r="30" spans="2:8" x14ac:dyDescent="0.3">
      <c r="B30" t="s">
        <v>313</v>
      </c>
      <c r="C30" t="s">
        <v>299</v>
      </c>
      <c r="D30">
        <v>55</v>
      </c>
      <c r="F30" s="138" t="s">
        <v>307</v>
      </c>
      <c r="G30" s="24">
        <f>0.5*D30</f>
        <v>27.5</v>
      </c>
      <c r="H30" t="s">
        <v>460</v>
      </c>
    </row>
    <row r="31" spans="2:8" x14ac:dyDescent="0.3">
      <c r="B31" t="s">
        <v>314</v>
      </c>
      <c r="C31" t="s">
        <v>299</v>
      </c>
      <c r="D31">
        <v>50</v>
      </c>
      <c r="F31" s="138" t="s">
        <v>307</v>
      </c>
      <c r="G31" s="24">
        <f>0.5*D31</f>
        <v>25</v>
      </c>
      <c r="H31" t="s">
        <v>460</v>
      </c>
    </row>
    <row r="32" spans="2:8" x14ac:dyDescent="0.3">
      <c r="B32" t="s">
        <v>315</v>
      </c>
      <c r="C32" t="s">
        <v>309</v>
      </c>
      <c r="D32">
        <v>61</v>
      </c>
      <c r="F32" s="138" t="s">
        <v>303</v>
      </c>
      <c r="G32" s="24"/>
    </row>
    <row r="33" spans="2:8" x14ac:dyDescent="0.3">
      <c r="B33" t="s">
        <v>316</v>
      </c>
      <c r="C33" t="s">
        <v>309</v>
      </c>
      <c r="D33">
        <v>20</v>
      </c>
      <c r="F33" s="138" t="s">
        <v>307</v>
      </c>
      <c r="G33" s="24">
        <v>20</v>
      </c>
      <c r="H33" t="s">
        <v>461</v>
      </c>
    </row>
    <row r="34" spans="2:8" ht="30" x14ac:dyDescent="0.25">
      <c r="B34" t="s">
        <v>317</v>
      </c>
      <c r="C34" s="6" t="s">
        <v>318</v>
      </c>
      <c r="D34">
        <v>130</v>
      </c>
      <c r="F34" s="138" t="s">
        <v>319</v>
      </c>
      <c r="G34" s="24">
        <v>100</v>
      </c>
    </row>
    <row r="35" spans="2:8" ht="15" x14ac:dyDescent="0.25">
      <c r="B35" t="s">
        <v>320</v>
      </c>
      <c r="C35" t="s">
        <v>306</v>
      </c>
      <c r="D35" s="106" t="s">
        <v>321</v>
      </c>
      <c r="F35" s="140" t="s">
        <v>321</v>
      </c>
      <c r="G35" s="24"/>
    </row>
    <row r="36" spans="2:8" x14ac:dyDescent="0.3">
      <c r="B36" t="s">
        <v>322</v>
      </c>
      <c r="C36" t="s">
        <v>323</v>
      </c>
      <c r="D36">
        <v>224</v>
      </c>
      <c r="F36" s="138" t="s">
        <v>303</v>
      </c>
      <c r="G36" s="24"/>
    </row>
    <row r="37" spans="2:8" x14ac:dyDescent="0.3">
      <c r="B37" t="s">
        <v>324</v>
      </c>
      <c r="C37" t="s">
        <v>301</v>
      </c>
      <c r="D37">
        <v>280</v>
      </c>
      <c r="F37" s="138" t="s">
        <v>303</v>
      </c>
      <c r="G37" s="24"/>
    </row>
    <row r="38" spans="2:8" ht="28.8" x14ac:dyDescent="0.3">
      <c r="B38" t="s">
        <v>325</v>
      </c>
      <c r="C38" s="6" t="s">
        <v>326</v>
      </c>
      <c r="D38">
        <v>50</v>
      </c>
      <c r="F38" s="138" t="s">
        <v>303</v>
      </c>
      <c r="G38" s="24"/>
    </row>
    <row r="39" spans="2:8" x14ac:dyDescent="0.3">
      <c r="B39" s="8" t="s">
        <v>327</v>
      </c>
      <c r="C39" s="8" t="s">
        <v>328</v>
      </c>
      <c r="D39" s="8">
        <v>114</v>
      </c>
      <c r="E39" s="104"/>
      <c r="F39" s="139" t="s">
        <v>307</v>
      </c>
      <c r="G39" s="25">
        <v>114</v>
      </c>
    </row>
    <row r="40" spans="2:8" ht="15" thickBot="1" x14ac:dyDescent="0.35">
      <c r="D40">
        <f>SUM(D23:D39)</f>
        <v>3386</v>
      </c>
      <c r="F40" s="138"/>
      <c r="G40" s="24">
        <f>SUM(G23:G39)</f>
        <v>286.5</v>
      </c>
      <c r="H40" t="s">
        <v>330</v>
      </c>
    </row>
    <row r="41" spans="2:8" ht="15" thickBot="1" x14ac:dyDescent="0.35">
      <c r="B41" s="2" t="s">
        <v>331</v>
      </c>
      <c r="D41">
        <f>D40/10</f>
        <v>338.6</v>
      </c>
      <c r="F41" s="105"/>
      <c r="G41" s="54">
        <f>G40/10</f>
        <v>28.65</v>
      </c>
      <c r="H41" t="s">
        <v>543</v>
      </c>
    </row>
    <row r="42" spans="2:8" x14ac:dyDescent="0.3">
      <c r="B42" s="2" t="s">
        <v>376</v>
      </c>
    </row>
    <row r="43" spans="2:8" x14ac:dyDescent="0.3">
      <c r="B43" s="2" t="s">
        <v>375</v>
      </c>
    </row>
    <row r="48" spans="2:8" x14ac:dyDescent="0.3">
      <c r="B48" s="2" t="s">
        <v>333</v>
      </c>
    </row>
    <row r="49" spans="2:7" x14ac:dyDescent="0.3">
      <c r="B49" s="109" t="s">
        <v>334</v>
      </c>
      <c r="D49" t="s">
        <v>296</v>
      </c>
      <c r="F49" s="138" t="s">
        <v>302</v>
      </c>
      <c r="G49" s="24"/>
    </row>
    <row r="50" spans="2:7" x14ac:dyDescent="0.3">
      <c r="B50" s="8" t="s">
        <v>335</v>
      </c>
      <c r="C50" s="8"/>
      <c r="D50" s="8" t="s">
        <v>297</v>
      </c>
      <c r="F50" s="139"/>
      <c r="G50" s="141" t="s">
        <v>542</v>
      </c>
    </row>
    <row r="51" spans="2:7" ht="15" x14ac:dyDescent="0.25">
      <c r="B51" t="s">
        <v>336</v>
      </c>
      <c r="D51">
        <v>450</v>
      </c>
      <c r="F51" s="142" t="s">
        <v>303</v>
      </c>
      <c r="G51" s="24"/>
    </row>
    <row r="52" spans="2:7" ht="15" x14ac:dyDescent="0.25">
      <c r="B52" t="s">
        <v>337</v>
      </c>
      <c r="D52" s="106" t="s">
        <v>321</v>
      </c>
      <c r="F52" s="140" t="s">
        <v>321</v>
      </c>
      <c r="G52" s="24"/>
    </row>
    <row r="53" spans="2:7" ht="15" x14ac:dyDescent="0.25">
      <c r="B53" s="22" t="s">
        <v>339</v>
      </c>
      <c r="D53" s="106"/>
      <c r="F53" s="140"/>
      <c r="G53" s="24"/>
    </row>
    <row r="54" spans="2:7" ht="15" x14ac:dyDescent="0.25">
      <c r="B54" t="s">
        <v>338</v>
      </c>
      <c r="D54">
        <v>240</v>
      </c>
      <c r="F54" s="138" t="s">
        <v>303</v>
      </c>
      <c r="G54" s="24"/>
    </row>
    <row r="55" spans="2:7" x14ac:dyDescent="0.3">
      <c r="B55" t="s">
        <v>340</v>
      </c>
      <c r="D55">
        <v>200</v>
      </c>
      <c r="F55" s="138" t="s">
        <v>303</v>
      </c>
      <c r="G55" s="24"/>
    </row>
    <row r="56" spans="2:7" x14ac:dyDescent="0.3">
      <c r="B56" t="s">
        <v>341</v>
      </c>
      <c r="D56" s="106" t="s">
        <v>321</v>
      </c>
      <c r="F56" s="140" t="s">
        <v>321</v>
      </c>
      <c r="G56" s="24"/>
    </row>
    <row r="57" spans="2:7" ht="15" x14ac:dyDescent="0.25">
      <c r="B57" t="s">
        <v>342</v>
      </c>
      <c r="D57">
        <v>350</v>
      </c>
      <c r="F57" s="138" t="s">
        <v>303</v>
      </c>
      <c r="G57" s="24"/>
    </row>
    <row r="58" spans="2:7" x14ac:dyDescent="0.3">
      <c r="B58" t="s">
        <v>348</v>
      </c>
      <c r="D58">
        <v>630</v>
      </c>
      <c r="F58" s="138" t="s">
        <v>303</v>
      </c>
      <c r="G58" s="24"/>
    </row>
    <row r="59" spans="2:7" x14ac:dyDescent="0.3">
      <c r="B59" t="s">
        <v>349</v>
      </c>
      <c r="D59">
        <v>13</v>
      </c>
      <c r="F59" s="138" t="s">
        <v>353</v>
      </c>
      <c r="G59" s="24">
        <v>13</v>
      </c>
    </row>
    <row r="60" spans="2:7" ht="15" x14ac:dyDescent="0.25">
      <c r="B60" t="s">
        <v>350</v>
      </c>
      <c r="D60">
        <v>1200</v>
      </c>
      <c r="F60" s="138" t="s">
        <v>303</v>
      </c>
      <c r="G60" s="24"/>
    </row>
    <row r="61" spans="2:7" ht="15" x14ac:dyDescent="0.25">
      <c r="B61" s="22" t="s">
        <v>351</v>
      </c>
      <c r="F61" s="138"/>
      <c r="G61" s="24"/>
    </row>
    <row r="62" spans="2:7" x14ac:dyDescent="0.3">
      <c r="B62" t="s">
        <v>352</v>
      </c>
      <c r="D62" s="106" t="s">
        <v>321</v>
      </c>
      <c r="F62" s="140" t="s">
        <v>321</v>
      </c>
      <c r="G62" s="24"/>
    </row>
    <row r="63" spans="2:7" x14ac:dyDescent="0.3">
      <c r="B63" t="s">
        <v>354</v>
      </c>
      <c r="D63" s="106" t="s">
        <v>321</v>
      </c>
      <c r="F63" s="138" t="s">
        <v>353</v>
      </c>
      <c r="G63" s="24"/>
    </row>
    <row r="64" spans="2:7" ht="28.8" x14ac:dyDescent="0.3">
      <c r="B64" s="6" t="s">
        <v>355</v>
      </c>
      <c r="D64">
        <v>20</v>
      </c>
      <c r="F64" s="138" t="s">
        <v>307</v>
      </c>
      <c r="G64" s="24">
        <v>20</v>
      </c>
    </row>
    <row r="65" spans="2:7" x14ac:dyDescent="0.3">
      <c r="B65" t="s">
        <v>356</v>
      </c>
      <c r="D65">
        <v>40</v>
      </c>
      <c r="F65" s="138" t="s">
        <v>307</v>
      </c>
      <c r="G65" s="24">
        <v>40</v>
      </c>
    </row>
    <row r="66" spans="2:7" x14ac:dyDescent="0.3">
      <c r="B66" t="s">
        <v>357</v>
      </c>
      <c r="D66">
        <v>83</v>
      </c>
      <c r="F66" s="138" t="s">
        <v>307</v>
      </c>
      <c r="G66" s="24">
        <v>83</v>
      </c>
    </row>
    <row r="67" spans="2:7" x14ac:dyDescent="0.3">
      <c r="B67" t="s">
        <v>358</v>
      </c>
      <c r="D67">
        <v>40</v>
      </c>
      <c r="F67" s="138" t="s">
        <v>307</v>
      </c>
      <c r="G67" s="24">
        <v>40</v>
      </c>
    </row>
    <row r="68" spans="2:7" x14ac:dyDescent="0.3">
      <c r="B68" t="s">
        <v>359</v>
      </c>
      <c r="D68">
        <v>140</v>
      </c>
      <c r="F68" s="138" t="s">
        <v>307</v>
      </c>
      <c r="G68" s="24">
        <v>140</v>
      </c>
    </row>
    <row r="69" spans="2:7" x14ac:dyDescent="0.3">
      <c r="B69" t="s">
        <v>360</v>
      </c>
      <c r="D69">
        <v>25</v>
      </c>
      <c r="F69" s="138" t="s">
        <v>307</v>
      </c>
      <c r="G69" s="24">
        <v>25</v>
      </c>
    </row>
    <row r="70" spans="2:7" x14ac:dyDescent="0.3">
      <c r="B70" t="s">
        <v>361</v>
      </c>
      <c r="D70" s="106" t="s">
        <v>321</v>
      </c>
      <c r="F70" s="140" t="s">
        <v>307</v>
      </c>
      <c r="G70" s="24"/>
    </row>
    <row r="71" spans="2:7" x14ac:dyDescent="0.3">
      <c r="B71" t="s">
        <v>362</v>
      </c>
      <c r="D71">
        <v>36</v>
      </c>
      <c r="F71" s="138" t="s">
        <v>307</v>
      </c>
      <c r="G71" s="24">
        <v>36</v>
      </c>
    </row>
    <row r="72" spans="2:7" x14ac:dyDescent="0.3">
      <c r="B72" t="s">
        <v>363</v>
      </c>
      <c r="D72">
        <v>76</v>
      </c>
      <c r="F72" s="138" t="s">
        <v>307</v>
      </c>
      <c r="G72" s="24">
        <v>76</v>
      </c>
    </row>
    <row r="73" spans="2:7" x14ac:dyDescent="0.3">
      <c r="B73" t="s">
        <v>364</v>
      </c>
      <c r="D73">
        <v>25</v>
      </c>
      <c r="F73" s="138" t="s">
        <v>307</v>
      </c>
      <c r="G73" s="24">
        <v>25</v>
      </c>
    </row>
    <row r="74" spans="2:7" x14ac:dyDescent="0.3">
      <c r="B74" t="s">
        <v>365</v>
      </c>
      <c r="D74">
        <v>160</v>
      </c>
      <c r="F74" s="138" t="s">
        <v>307</v>
      </c>
      <c r="G74" s="24">
        <v>160</v>
      </c>
    </row>
    <row r="75" spans="2:7" x14ac:dyDescent="0.3">
      <c r="B75" t="s">
        <v>366</v>
      </c>
      <c r="D75">
        <v>110</v>
      </c>
      <c r="F75" s="138" t="s">
        <v>367</v>
      </c>
      <c r="G75" s="24">
        <v>10</v>
      </c>
    </row>
    <row r="76" spans="2:7" x14ac:dyDescent="0.3">
      <c r="B76" t="s">
        <v>368</v>
      </c>
      <c r="D76">
        <v>63</v>
      </c>
      <c r="F76" s="138" t="s">
        <v>307</v>
      </c>
      <c r="G76" s="24">
        <v>63</v>
      </c>
    </row>
    <row r="77" spans="2:7" x14ac:dyDescent="0.3">
      <c r="B77" t="s">
        <v>369</v>
      </c>
      <c r="D77">
        <v>26</v>
      </c>
      <c r="F77" s="138" t="s">
        <v>307</v>
      </c>
      <c r="G77" s="24">
        <v>26</v>
      </c>
    </row>
    <row r="78" spans="2:7" x14ac:dyDescent="0.3">
      <c r="B78" t="s">
        <v>370</v>
      </c>
      <c r="D78">
        <v>25</v>
      </c>
      <c r="F78" s="138" t="s">
        <v>307</v>
      </c>
      <c r="G78" s="24">
        <v>25</v>
      </c>
    </row>
    <row r="79" spans="2:7" x14ac:dyDescent="0.3">
      <c r="B79" t="s">
        <v>371</v>
      </c>
      <c r="D79">
        <v>47</v>
      </c>
      <c r="F79" s="138" t="s">
        <v>307</v>
      </c>
      <c r="G79" s="24">
        <v>47</v>
      </c>
    </row>
    <row r="80" spans="2:7" x14ac:dyDescent="0.3">
      <c r="B80" t="s">
        <v>372</v>
      </c>
      <c r="D80">
        <v>79</v>
      </c>
      <c r="F80" s="138" t="s">
        <v>307</v>
      </c>
      <c r="G80" s="24">
        <v>79</v>
      </c>
    </row>
    <row r="81" spans="2:8" x14ac:dyDescent="0.3">
      <c r="B81" s="8" t="s">
        <v>373</v>
      </c>
      <c r="C81" s="8"/>
      <c r="D81" s="8">
        <v>120</v>
      </c>
      <c r="E81" s="110"/>
      <c r="F81" s="139" t="s">
        <v>307</v>
      </c>
      <c r="G81" s="25">
        <v>120</v>
      </c>
    </row>
    <row r="82" spans="2:8" x14ac:dyDescent="0.3">
      <c r="D82">
        <f>SUM(D51:D81)</f>
        <v>4198</v>
      </c>
      <c r="F82" s="24"/>
      <c r="G82" s="24">
        <f t="shared" ref="G82" si="0">SUM(G51:G81)</f>
        <v>1028</v>
      </c>
      <c r="H82" t="s">
        <v>330</v>
      </c>
    </row>
    <row r="83" spans="2:8" x14ac:dyDescent="0.3">
      <c r="D83" s="45">
        <f>D82/15</f>
        <v>279.86666666666667</v>
      </c>
      <c r="G83" s="45">
        <f>G82/15</f>
        <v>68.533333333333331</v>
      </c>
      <c r="H83" t="s">
        <v>544</v>
      </c>
    </row>
    <row r="84" spans="2:8" x14ac:dyDescent="0.3">
      <c r="B84" s="2" t="s">
        <v>375</v>
      </c>
    </row>
    <row r="85" spans="2:8" x14ac:dyDescent="0.3">
      <c r="B85" s="2" t="s">
        <v>374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workbookViewId="0">
      <selection activeCell="B5" sqref="B5"/>
    </sheetView>
  </sheetViews>
  <sheetFormatPr defaultRowHeight="14.4" x14ac:dyDescent="0.3"/>
  <cols>
    <col min="1" max="1" width="17.109375" customWidth="1"/>
    <col min="2" max="2" width="56.44140625" customWidth="1"/>
    <col min="3" max="3" width="18.88671875" customWidth="1"/>
    <col min="4" max="4" width="10.33203125" customWidth="1"/>
    <col min="5" max="5" width="11.5546875" customWidth="1"/>
    <col min="6" max="6" width="11.44140625" customWidth="1"/>
    <col min="7" max="7" width="13" customWidth="1"/>
    <col min="8" max="8" width="13.33203125" customWidth="1"/>
    <col min="9" max="9" width="9.5546875" bestFit="1" customWidth="1"/>
  </cols>
  <sheetData>
    <row r="1" spans="1:11" x14ac:dyDescent="0.3">
      <c r="B1" s="1" t="s">
        <v>463</v>
      </c>
      <c r="C1" s="1" t="s">
        <v>675</v>
      </c>
    </row>
    <row r="2" spans="1:11" ht="15" x14ac:dyDescent="0.25">
      <c r="B2" s="1"/>
      <c r="C2" s="1"/>
    </row>
    <row r="3" spans="1:11" x14ac:dyDescent="0.3">
      <c r="B3" t="s">
        <v>572</v>
      </c>
    </row>
    <row r="4" spans="1:11" x14ac:dyDescent="0.3">
      <c r="B4" t="s">
        <v>256</v>
      </c>
    </row>
    <row r="5" spans="1:11" x14ac:dyDescent="0.3">
      <c r="B5" t="s">
        <v>464</v>
      </c>
    </row>
    <row r="7" spans="1:11" x14ac:dyDescent="0.3">
      <c r="B7" t="s">
        <v>270</v>
      </c>
    </row>
    <row r="9" spans="1:11" x14ac:dyDescent="0.3">
      <c r="B9" s="87" t="s">
        <v>142</v>
      </c>
      <c r="D9" t="s">
        <v>173</v>
      </c>
    </row>
    <row r="10" spans="1:11" x14ac:dyDescent="0.3">
      <c r="B10" s="24" t="s">
        <v>420</v>
      </c>
      <c r="D10" t="s">
        <v>174</v>
      </c>
    </row>
    <row r="11" spans="1:11" x14ac:dyDescent="0.3">
      <c r="B11" s="89" t="s">
        <v>257</v>
      </c>
    </row>
    <row r="12" spans="1:11" x14ac:dyDescent="0.3">
      <c r="B12" s="3" t="s">
        <v>259</v>
      </c>
    </row>
    <row r="13" spans="1:11" ht="15" x14ac:dyDescent="0.25">
      <c r="B13" s="3"/>
    </row>
    <row r="14" spans="1:11" x14ac:dyDescent="0.3">
      <c r="A14" s="21"/>
      <c r="B14" s="131" t="s">
        <v>474</v>
      </c>
      <c r="C14" s="21"/>
      <c r="D14" s="21"/>
      <c r="E14" s="21"/>
      <c r="F14" s="21"/>
      <c r="G14" s="21"/>
      <c r="H14" s="21"/>
    </row>
    <row r="15" spans="1:11" x14ac:dyDescent="0.3">
      <c r="B15" s="58"/>
      <c r="C15" t="s">
        <v>469</v>
      </c>
    </row>
    <row r="16" spans="1:11" ht="30" customHeight="1" x14ac:dyDescent="0.3">
      <c r="A16" s="24"/>
      <c r="B16" s="130" t="s">
        <v>124</v>
      </c>
      <c r="C16" s="25">
        <v>15</v>
      </c>
      <c r="D16" s="25">
        <v>100</v>
      </c>
      <c r="E16" s="25">
        <v>1000</v>
      </c>
      <c r="F16" s="25">
        <v>2000</v>
      </c>
      <c r="G16" s="25">
        <v>5000</v>
      </c>
      <c r="H16" s="25">
        <v>8000</v>
      </c>
      <c r="J16" s="8" t="s">
        <v>407</v>
      </c>
      <c r="K16" s="8"/>
    </row>
    <row r="17" spans="1:10" ht="15" customHeight="1" x14ac:dyDescent="0.3">
      <c r="A17" s="204" t="s">
        <v>125</v>
      </c>
      <c r="B17" t="s">
        <v>145</v>
      </c>
      <c r="C17" s="24">
        <v>6.75</v>
      </c>
      <c r="D17" s="24">
        <v>6.75</v>
      </c>
      <c r="E17" s="24">
        <v>9</v>
      </c>
      <c r="F17" s="24">
        <v>9</v>
      </c>
      <c r="G17" s="24">
        <v>11</v>
      </c>
      <c r="H17" s="24">
        <v>11</v>
      </c>
    </row>
    <row r="18" spans="1:10" x14ac:dyDescent="0.3">
      <c r="A18" s="204"/>
      <c r="B18" t="s">
        <v>146</v>
      </c>
      <c r="C18" s="24">
        <v>1.9</v>
      </c>
      <c r="D18" s="24">
        <v>3.1</v>
      </c>
      <c r="E18" s="24">
        <v>4</v>
      </c>
      <c r="F18" s="24">
        <v>5.3</v>
      </c>
      <c r="G18" s="24">
        <v>5.9</v>
      </c>
      <c r="H18" s="24">
        <v>6.1</v>
      </c>
    </row>
    <row r="19" spans="1:10" x14ac:dyDescent="0.3">
      <c r="A19" s="204"/>
      <c r="B19" t="s">
        <v>147</v>
      </c>
      <c r="C19" s="24">
        <v>1.05</v>
      </c>
      <c r="D19" s="24">
        <v>0.94</v>
      </c>
      <c r="E19" s="24">
        <v>0.83</v>
      </c>
      <c r="F19" s="24">
        <v>0.71</v>
      </c>
      <c r="G19" s="24">
        <v>0.54</v>
      </c>
      <c r="H19" s="24">
        <v>0.5</v>
      </c>
      <c r="J19" t="s">
        <v>131</v>
      </c>
    </row>
    <row r="20" spans="1:10" x14ac:dyDescent="0.3">
      <c r="A20" s="26"/>
      <c r="B20" t="s">
        <v>148</v>
      </c>
      <c r="C20" s="29">
        <f>(5*18+2*0)/7</f>
        <v>12.857142857142858</v>
      </c>
      <c r="D20" s="24">
        <f>(18*7)/7</f>
        <v>18</v>
      </c>
      <c r="E20" s="24">
        <v>20</v>
      </c>
      <c r="F20" s="24">
        <v>20</v>
      </c>
      <c r="G20" s="24">
        <v>20</v>
      </c>
      <c r="H20" s="24">
        <v>20</v>
      </c>
      <c r="J20" t="s">
        <v>134</v>
      </c>
    </row>
    <row r="21" spans="1:10" x14ac:dyDescent="0.3">
      <c r="A21" s="27"/>
      <c r="B21" s="28" t="s">
        <v>149</v>
      </c>
      <c r="C21" s="30">
        <f>C16*C20*365</f>
        <v>70392.857142857145</v>
      </c>
      <c r="D21" s="30">
        <f t="shared" ref="D21:G21" si="0">D16*D20*365</f>
        <v>657000</v>
      </c>
      <c r="E21" s="30">
        <f>E16*E20*365</f>
        <v>7300000</v>
      </c>
      <c r="F21" s="30">
        <f t="shared" si="0"/>
        <v>14600000</v>
      </c>
      <c r="G21" s="30">
        <f t="shared" si="0"/>
        <v>36500000</v>
      </c>
      <c r="H21" s="30">
        <f>H16*H20*365</f>
        <v>58400000</v>
      </c>
    </row>
    <row r="22" spans="1:10" x14ac:dyDescent="0.3">
      <c r="B22" s="28" t="s">
        <v>132</v>
      </c>
      <c r="C22" s="30">
        <f>C21*C18</f>
        <v>133746.42857142858</v>
      </c>
      <c r="D22" s="30">
        <f t="shared" ref="D22:G22" si="1">D21*D18</f>
        <v>2036700</v>
      </c>
      <c r="E22" s="30">
        <f t="shared" si="1"/>
        <v>29200000</v>
      </c>
      <c r="F22" s="30">
        <f t="shared" si="1"/>
        <v>77380000</v>
      </c>
      <c r="G22" s="30">
        <f t="shared" si="1"/>
        <v>215350000</v>
      </c>
      <c r="H22" s="30">
        <f>H21*H18</f>
        <v>356240000</v>
      </c>
    </row>
    <row r="23" spans="1:10" x14ac:dyDescent="0.3">
      <c r="A23" s="33" t="s">
        <v>136</v>
      </c>
      <c r="B23" s="31" t="s">
        <v>135</v>
      </c>
      <c r="C23" s="32">
        <f>C22/365</f>
        <v>366.42857142857144</v>
      </c>
      <c r="D23" s="32">
        <f t="shared" ref="D23:G23" si="2">D22/365</f>
        <v>5580</v>
      </c>
      <c r="E23" s="32">
        <f t="shared" si="2"/>
        <v>80000</v>
      </c>
      <c r="F23" s="32">
        <f t="shared" si="2"/>
        <v>212000</v>
      </c>
      <c r="G23" s="32">
        <f t="shared" si="2"/>
        <v>590000</v>
      </c>
      <c r="H23" s="32">
        <f>H22/365</f>
        <v>976000</v>
      </c>
    </row>
    <row r="24" spans="1:10" x14ac:dyDescent="0.3">
      <c r="A24" s="33" t="s">
        <v>136</v>
      </c>
      <c r="B24" s="31" t="s">
        <v>139</v>
      </c>
      <c r="C24" s="32">
        <f>C22/12</f>
        <v>11145.535714285716</v>
      </c>
      <c r="D24" s="32">
        <f t="shared" ref="D24:G24" si="3">D22/12</f>
        <v>169725</v>
      </c>
      <c r="E24" s="32">
        <f t="shared" si="3"/>
        <v>2433333.3333333335</v>
      </c>
      <c r="F24" s="32">
        <f t="shared" si="3"/>
        <v>6448333.333333333</v>
      </c>
      <c r="G24" s="32">
        <f t="shared" si="3"/>
        <v>17945833.333333332</v>
      </c>
      <c r="H24" s="32">
        <f>H22/12</f>
        <v>29686666.666666668</v>
      </c>
    </row>
    <row r="25" spans="1:10" x14ac:dyDescent="0.3">
      <c r="A25" s="33"/>
      <c r="B25" s="34" t="s">
        <v>138</v>
      </c>
      <c r="C25" s="30">
        <f t="shared" ref="C25:G25" si="4">C22*C17</f>
        <v>902788.39285714296</v>
      </c>
      <c r="D25" s="30">
        <f t="shared" si="4"/>
        <v>13747725</v>
      </c>
      <c r="E25" s="30">
        <f t="shared" si="4"/>
        <v>262800000</v>
      </c>
      <c r="F25" s="30">
        <f t="shared" si="4"/>
        <v>696420000</v>
      </c>
      <c r="G25" s="30">
        <f t="shared" si="4"/>
        <v>2368850000</v>
      </c>
      <c r="H25" s="30">
        <f>H22*H17</f>
        <v>3918640000</v>
      </c>
    </row>
    <row r="26" spans="1:10" x14ac:dyDescent="0.3">
      <c r="B26" t="s">
        <v>133</v>
      </c>
      <c r="C26" s="30">
        <f>C25*C19</f>
        <v>947927.81250000012</v>
      </c>
      <c r="D26" s="30">
        <f t="shared" ref="D26:G26" si="5">D25*D19</f>
        <v>12922861.5</v>
      </c>
      <c r="E26" s="30">
        <f t="shared" si="5"/>
        <v>218124000</v>
      </c>
      <c r="F26" s="30">
        <f t="shared" si="5"/>
        <v>494458200</v>
      </c>
      <c r="G26" s="30">
        <f t="shared" si="5"/>
        <v>1279179000</v>
      </c>
      <c r="H26" s="30">
        <f>H25*H19</f>
        <v>1959320000</v>
      </c>
    </row>
    <row r="27" spans="1:10" x14ac:dyDescent="0.3">
      <c r="A27" s="33" t="s">
        <v>136</v>
      </c>
      <c r="B27" s="9" t="s">
        <v>137</v>
      </c>
      <c r="C27" s="32">
        <f t="shared" ref="C27:G27" si="6">C26/365</f>
        <v>2597.0625000000005</v>
      </c>
      <c r="D27" s="32">
        <f t="shared" si="6"/>
        <v>35405.1</v>
      </c>
      <c r="E27" s="32">
        <f t="shared" si="6"/>
        <v>597600</v>
      </c>
      <c r="F27" s="32">
        <f t="shared" si="6"/>
        <v>1354680</v>
      </c>
      <c r="G27" s="32">
        <f t="shared" si="6"/>
        <v>3504600</v>
      </c>
      <c r="H27" s="32">
        <f>H26/365</f>
        <v>5368000</v>
      </c>
      <c r="J27" t="s">
        <v>140</v>
      </c>
    </row>
    <row r="28" spans="1:10" x14ac:dyDescent="0.3">
      <c r="A28" s="33" t="s">
        <v>136</v>
      </c>
      <c r="B28" s="9" t="s">
        <v>158</v>
      </c>
      <c r="C28" s="32">
        <f>C26/C21</f>
        <v>13.46625</v>
      </c>
      <c r="D28" s="32">
        <f t="shared" ref="D28:G28" si="7">D26/D21</f>
        <v>19.669499999999999</v>
      </c>
      <c r="E28" s="32">
        <f t="shared" si="7"/>
        <v>29.88</v>
      </c>
      <c r="F28" s="32">
        <f t="shared" si="7"/>
        <v>33.866999999999997</v>
      </c>
      <c r="G28" s="32">
        <f t="shared" si="7"/>
        <v>35.045999999999999</v>
      </c>
      <c r="H28" s="32">
        <f>H26/H21</f>
        <v>33.549999999999997</v>
      </c>
    </row>
    <row r="29" spans="1:10" x14ac:dyDescent="0.3">
      <c r="A29" s="33" t="s">
        <v>136</v>
      </c>
      <c r="B29" s="9" t="s">
        <v>255</v>
      </c>
      <c r="C29" s="32">
        <f>(3.5+0.45*C17)*0.8*C22</f>
        <v>699493.82142857148</v>
      </c>
      <c r="D29" s="32">
        <f t="shared" ref="D29:H29" si="8">(3.5+0.45*D17)*0.8*D22</f>
        <v>10651941</v>
      </c>
      <c r="E29" s="32">
        <f t="shared" si="8"/>
        <v>176368000</v>
      </c>
      <c r="F29" s="32">
        <f t="shared" si="8"/>
        <v>467375200</v>
      </c>
      <c r="G29" s="32">
        <f t="shared" si="8"/>
        <v>1455766000</v>
      </c>
      <c r="H29" s="32">
        <f t="shared" si="8"/>
        <v>2408182400</v>
      </c>
      <c r="J29" t="s">
        <v>258</v>
      </c>
    </row>
    <row r="30" spans="1:10" x14ac:dyDescent="0.3">
      <c r="A30" s="33"/>
      <c r="B30" s="9"/>
      <c r="C30" s="32"/>
      <c r="D30" s="32"/>
      <c r="E30" s="32"/>
      <c r="F30" s="32"/>
      <c r="G30" s="32"/>
      <c r="H30" s="32"/>
    </row>
    <row r="31" spans="1:10" x14ac:dyDescent="0.3">
      <c r="A31" s="33"/>
      <c r="B31" s="80" t="s">
        <v>251</v>
      </c>
      <c r="C31" s="32"/>
      <c r="D31" s="32"/>
      <c r="E31" s="32"/>
      <c r="F31" s="32"/>
      <c r="G31" s="32"/>
      <c r="H31" s="32"/>
    </row>
    <row r="32" spans="1:10" x14ac:dyDescent="0.3">
      <c r="A32" s="33"/>
      <c r="B32" s="79" t="s">
        <v>600</v>
      </c>
      <c r="C32" s="32"/>
      <c r="D32" s="32"/>
      <c r="E32" s="32"/>
      <c r="F32" s="32"/>
      <c r="G32" s="32"/>
      <c r="H32" s="32"/>
    </row>
    <row r="33" spans="1:11" x14ac:dyDescent="0.3">
      <c r="A33" s="33"/>
      <c r="B33" s="79" t="s">
        <v>602</v>
      </c>
      <c r="C33" s="32"/>
      <c r="D33" s="32"/>
      <c r="E33" s="32"/>
      <c r="F33" s="32"/>
      <c r="G33" s="32"/>
      <c r="H33" s="32"/>
    </row>
    <row r="34" spans="1:11" x14ac:dyDescent="0.3">
      <c r="A34" s="33"/>
      <c r="B34" s="79" t="s">
        <v>601</v>
      </c>
      <c r="C34" s="32"/>
      <c r="D34" s="32"/>
      <c r="E34" s="32"/>
      <c r="F34" s="32"/>
      <c r="G34" s="32"/>
      <c r="H34" s="32"/>
    </row>
    <row r="35" spans="1:11" x14ac:dyDescent="0.3">
      <c r="A35" s="33"/>
      <c r="B35" s="79" t="s">
        <v>603</v>
      </c>
      <c r="C35" s="32"/>
      <c r="D35" s="32"/>
      <c r="E35" s="32"/>
      <c r="F35" s="32"/>
      <c r="G35" s="32"/>
      <c r="H35" s="32"/>
    </row>
    <row r="36" spans="1:11" x14ac:dyDescent="0.3">
      <c r="A36" s="33"/>
      <c r="B36" s="79" t="s">
        <v>604</v>
      </c>
      <c r="C36" s="32"/>
      <c r="D36" s="32"/>
      <c r="E36" s="32"/>
      <c r="F36" s="32"/>
      <c r="G36" s="32"/>
      <c r="H36" s="32"/>
    </row>
    <row r="37" spans="1:11" x14ac:dyDescent="0.3">
      <c r="A37" s="33"/>
      <c r="B37" s="79" t="s">
        <v>605</v>
      </c>
      <c r="C37" s="32"/>
      <c r="D37" s="32"/>
      <c r="E37" s="32"/>
      <c r="F37" s="32"/>
      <c r="G37" s="32"/>
      <c r="H37" s="32"/>
    </row>
    <row r="38" spans="1:11" x14ac:dyDescent="0.3">
      <c r="A38" s="33"/>
      <c r="B38" s="79" t="s">
        <v>606</v>
      </c>
      <c r="C38" s="32"/>
      <c r="D38" s="32"/>
      <c r="E38" s="32"/>
      <c r="F38" s="32"/>
      <c r="G38" s="32"/>
      <c r="H38" s="32"/>
    </row>
    <row r="39" spans="1:11" ht="15" customHeight="1" x14ac:dyDescent="0.3">
      <c r="A39" s="205" t="s">
        <v>126</v>
      </c>
      <c r="B39" s="28" t="s">
        <v>127</v>
      </c>
      <c r="C39" s="134">
        <v>0.15</v>
      </c>
      <c r="D39" s="88">
        <v>0.17</v>
      </c>
      <c r="E39" s="88">
        <v>0.5</v>
      </c>
      <c r="F39" s="88">
        <v>0.6</v>
      </c>
      <c r="G39" s="88">
        <v>0.7</v>
      </c>
      <c r="H39" s="88">
        <v>0.7</v>
      </c>
    </row>
    <row r="40" spans="1:11" x14ac:dyDescent="0.3">
      <c r="A40" s="205"/>
      <c r="B40" s="28" t="s">
        <v>128</v>
      </c>
      <c r="C40" s="134">
        <v>0.03</v>
      </c>
      <c r="D40" s="88">
        <v>0.03</v>
      </c>
      <c r="E40" s="88">
        <v>0.03</v>
      </c>
      <c r="F40" s="88">
        <v>0.03</v>
      </c>
      <c r="G40" s="88">
        <v>0.05</v>
      </c>
      <c r="H40" s="88">
        <v>0.05</v>
      </c>
      <c r="J40" t="s">
        <v>141</v>
      </c>
    </row>
    <row r="41" spans="1:11" x14ac:dyDescent="0.3">
      <c r="A41" s="205"/>
      <c r="B41" s="28" t="s">
        <v>143</v>
      </c>
      <c r="C41" s="134">
        <v>0.1</v>
      </c>
      <c r="D41" s="88">
        <v>0.1</v>
      </c>
      <c r="E41" s="126">
        <v>0.06</v>
      </c>
      <c r="F41" s="126">
        <v>0.04</v>
      </c>
      <c r="G41" s="126">
        <v>0.02</v>
      </c>
      <c r="H41" s="126">
        <v>0.02</v>
      </c>
      <c r="J41" s="49" t="s">
        <v>465</v>
      </c>
    </row>
    <row r="42" spans="1:11" x14ac:dyDescent="0.3">
      <c r="A42" s="205"/>
      <c r="B42" s="28" t="s">
        <v>129</v>
      </c>
      <c r="C42" s="134">
        <v>0.65</v>
      </c>
      <c r="D42" s="88">
        <v>0.64</v>
      </c>
      <c r="E42" s="88">
        <v>0.35</v>
      </c>
      <c r="F42" s="88">
        <v>0.28000000000000003</v>
      </c>
      <c r="G42" s="88">
        <v>0.19</v>
      </c>
      <c r="H42" s="88">
        <v>0.2</v>
      </c>
      <c r="J42" s="49" t="s">
        <v>248</v>
      </c>
      <c r="K42" s="49"/>
    </row>
    <row r="43" spans="1:11" x14ac:dyDescent="0.3">
      <c r="A43" s="205"/>
      <c r="B43" s="28" t="s">
        <v>130</v>
      </c>
      <c r="C43" s="134">
        <f>100 %-SUM(C39:C42)</f>
        <v>6.9999999999999951E-2</v>
      </c>
      <c r="D43" s="88">
        <f t="shared" ref="D43:H43" si="9">100 %-SUM(D39:D42)</f>
        <v>5.9999999999999942E-2</v>
      </c>
      <c r="E43" s="88">
        <f t="shared" si="9"/>
        <v>5.9999999999999942E-2</v>
      </c>
      <c r="F43" s="88">
        <f t="shared" si="9"/>
        <v>4.9999999999999933E-2</v>
      </c>
      <c r="G43" s="88">
        <f t="shared" si="9"/>
        <v>4.0000000000000036E-2</v>
      </c>
      <c r="H43" s="88">
        <f t="shared" si="9"/>
        <v>3.0000000000000027E-2</v>
      </c>
      <c r="J43" s="49"/>
      <c r="K43" s="49"/>
    </row>
    <row r="44" spans="1:11" x14ac:dyDescent="0.3">
      <c r="B44" s="100" t="s">
        <v>282</v>
      </c>
      <c r="J44" s="49" t="s">
        <v>283</v>
      </c>
      <c r="K44" s="49"/>
    </row>
    <row r="45" spans="1:11" x14ac:dyDescent="0.3">
      <c r="A45" s="9" t="s">
        <v>271</v>
      </c>
      <c r="B45" s="31" t="s">
        <v>277</v>
      </c>
      <c r="C45" s="78">
        <f>C39*C$23</f>
        <v>54.964285714285715</v>
      </c>
      <c r="D45" s="78">
        <f t="shared" ref="D45:H45" si="10">D39*D$23</f>
        <v>948.6</v>
      </c>
      <c r="E45" s="78">
        <f t="shared" si="10"/>
        <v>40000</v>
      </c>
      <c r="F45" s="78">
        <f t="shared" si="10"/>
        <v>127200</v>
      </c>
      <c r="G45" s="78">
        <f t="shared" si="10"/>
        <v>413000</v>
      </c>
      <c r="H45" s="78">
        <f t="shared" si="10"/>
        <v>683200</v>
      </c>
      <c r="J45" s="83">
        <v>1000000</v>
      </c>
      <c r="K45" s="49" t="s">
        <v>284</v>
      </c>
    </row>
    <row r="46" spans="1:11" x14ac:dyDescent="0.3">
      <c r="A46" s="9" t="s">
        <v>272</v>
      </c>
      <c r="B46" s="31" t="s">
        <v>278</v>
      </c>
      <c r="C46" s="78">
        <f>C40*C$23</f>
        <v>10.992857142857144</v>
      </c>
      <c r="D46" s="78">
        <f t="shared" ref="D46:H46" si="11">D40*D$23</f>
        <v>167.4</v>
      </c>
      <c r="E46" s="78">
        <f t="shared" si="11"/>
        <v>2400</v>
      </c>
      <c r="F46" s="78">
        <f t="shared" si="11"/>
        <v>6360</v>
      </c>
      <c r="G46" s="78">
        <f t="shared" si="11"/>
        <v>29500</v>
      </c>
      <c r="H46" s="78">
        <f t="shared" si="11"/>
        <v>48800</v>
      </c>
      <c r="J46" s="83">
        <v>250000</v>
      </c>
      <c r="K46" s="49" t="s">
        <v>285</v>
      </c>
    </row>
    <row r="47" spans="1:11" x14ac:dyDescent="0.3">
      <c r="A47" s="9" t="s">
        <v>273</v>
      </c>
      <c r="B47" s="31" t="s">
        <v>279</v>
      </c>
      <c r="C47" s="78">
        <f t="shared" ref="C47:H49" si="12">C41*C$23</f>
        <v>36.642857142857146</v>
      </c>
      <c r="D47" s="78">
        <f t="shared" si="12"/>
        <v>558</v>
      </c>
      <c r="E47" s="78">
        <f t="shared" si="12"/>
        <v>4800</v>
      </c>
      <c r="F47" s="78">
        <f t="shared" si="12"/>
        <v>8480</v>
      </c>
      <c r="G47" s="78">
        <f t="shared" si="12"/>
        <v>11800</v>
      </c>
      <c r="H47" s="78">
        <f t="shared" si="12"/>
        <v>19520</v>
      </c>
      <c r="J47" s="83"/>
      <c r="K47" s="49"/>
    </row>
    <row r="48" spans="1:11" x14ac:dyDescent="0.3">
      <c r="A48" s="9"/>
      <c r="B48" s="31" t="s">
        <v>280</v>
      </c>
      <c r="C48" s="78">
        <f t="shared" si="12"/>
        <v>238.17857142857144</v>
      </c>
      <c r="D48" s="78">
        <f t="shared" si="12"/>
        <v>3571.2000000000003</v>
      </c>
      <c r="E48" s="78">
        <f t="shared" si="12"/>
        <v>28000</v>
      </c>
      <c r="F48" s="78">
        <f t="shared" si="12"/>
        <v>59360.000000000007</v>
      </c>
      <c r="G48" s="78">
        <f t="shared" si="12"/>
        <v>112100</v>
      </c>
      <c r="H48" s="78">
        <f t="shared" si="12"/>
        <v>195200</v>
      </c>
      <c r="J48" s="83">
        <v>890000</v>
      </c>
      <c r="K48" s="49" t="s">
        <v>286</v>
      </c>
    </row>
    <row r="49" spans="1:11" x14ac:dyDescent="0.3">
      <c r="A49" s="9"/>
      <c r="B49" s="31" t="s">
        <v>281</v>
      </c>
      <c r="C49" s="78">
        <f>C43*C$23</f>
        <v>25.649999999999984</v>
      </c>
      <c r="D49" s="78">
        <f t="shared" si="12"/>
        <v>334.79999999999967</v>
      </c>
      <c r="E49" s="78">
        <f t="shared" si="12"/>
        <v>4799.9999999999955</v>
      </c>
      <c r="F49" s="78">
        <f t="shared" si="12"/>
        <v>10599.999999999985</v>
      </c>
      <c r="G49" s="78">
        <f t="shared" si="12"/>
        <v>23600.000000000022</v>
      </c>
      <c r="H49" s="78">
        <f>H43*H$23</f>
        <v>29280.000000000025</v>
      </c>
      <c r="J49" s="83">
        <v>1080000</v>
      </c>
      <c r="K49" s="49" t="s">
        <v>287</v>
      </c>
    </row>
    <row r="50" spans="1:11" x14ac:dyDescent="0.3">
      <c r="B50" s="28"/>
    </row>
    <row r="51" spans="1:11" x14ac:dyDescent="0.3">
      <c r="B51" t="s">
        <v>177</v>
      </c>
      <c r="C51" s="30">
        <f t="shared" ref="C51:H51" si="13">-C17*C22*C39</f>
        <v>-135418.25892857145</v>
      </c>
      <c r="D51" s="30">
        <f t="shared" si="13"/>
        <v>-2337113.25</v>
      </c>
      <c r="E51" s="30">
        <f t="shared" si="13"/>
        <v>-131400000</v>
      </c>
      <c r="F51" s="30">
        <f t="shared" si="13"/>
        <v>-417852000</v>
      </c>
      <c r="G51" s="30">
        <f t="shared" si="13"/>
        <v>-1658195000</v>
      </c>
      <c r="H51" s="30">
        <f t="shared" si="13"/>
        <v>-2743048000</v>
      </c>
      <c r="I51" s="30"/>
    </row>
    <row r="52" spans="1:11" x14ac:dyDescent="0.3">
      <c r="A52" s="24"/>
      <c r="B52" t="s">
        <v>144</v>
      </c>
      <c r="C52" s="36">
        <v>1.5</v>
      </c>
      <c r="D52" s="36">
        <v>1.5</v>
      </c>
      <c r="E52" s="36">
        <v>1.5</v>
      </c>
      <c r="F52" s="36">
        <v>1.5</v>
      </c>
      <c r="G52" s="36">
        <v>1.5</v>
      </c>
      <c r="H52" s="36">
        <v>1.5</v>
      </c>
      <c r="J52" t="s">
        <v>167</v>
      </c>
    </row>
    <row r="53" spans="1:11" x14ac:dyDescent="0.3">
      <c r="B53" t="s">
        <v>178</v>
      </c>
      <c r="C53" s="30">
        <f t="shared" ref="C53:H53" si="14">-C17*C22*C41*C52</f>
        <v>-135418.25892857145</v>
      </c>
      <c r="D53" s="30">
        <f t="shared" si="14"/>
        <v>-2062158.75</v>
      </c>
      <c r="E53" s="30">
        <f t="shared" si="14"/>
        <v>-23652000</v>
      </c>
      <c r="F53" s="30">
        <f t="shared" si="14"/>
        <v>-41785200</v>
      </c>
      <c r="G53" s="30">
        <f t="shared" si="14"/>
        <v>-71065500</v>
      </c>
      <c r="H53" s="30">
        <f t="shared" si="14"/>
        <v>-117559200</v>
      </c>
    </row>
    <row r="54" spans="1:11" x14ac:dyDescent="0.3">
      <c r="C54" s="30"/>
      <c r="D54" s="30"/>
      <c r="E54" s="30"/>
      <c r="F54" s="30"/>
      <c r="G54" s="30"/>
      <c r="H54" s="30"/>
    </row>
    <row r="55" spans="1:11" x14ac:dyDescent="0.3">
      <c r="B55" s="80" t="s">
        <v>385</v>
      </c>
      <c r="C55" s="30"/>
      <c r="D55" s="30"/>
      <c r="E55" s="30"/>
      <c r="F55" s="30"/>
      <c r="G55" s="30"/>
      <c r="H55" s="30"/>
    </row>
    <row r="56" spans="1:11" x14ac:dyDescent="0.3">
      <c r="B56" s="22" t="s">
        <v>329</v>
      </c>
      <c r="C56" s="30"/>
      <c r="D56" s="30"/>
      <c r="E56" s="30"/>
      <c r="F56" s="30"/>
      <c r="G56" s="30"/>
      <c r="H56" s="30"/>
    </row>
    <row r="57" spans="1:11" ht="28.8" x14ac:dyDescent="0.3">
      <c r="A57" s="89"/>
      <c r="B57" s="103" t="s">
        <v>156</v>
      </c>
      <c r="C57" s="102">
        <v>0</v>
      </c>
      <c r="D57" s="102">
        <v>0.1</v>
      </c>
      <c r="E57" s="102">
        <v>0.2</v>
      </c>
      <c r="F57" s="102">
        <v>0.2</v>
      </c>
      <c r="G57" s="102">
        <v>0.1</v>
      </c>
      <c r="H57" s="102">
        <v>0.1</v>
      </c>
      <c r="I57" s="37"/>
      <c r="J57" s="49" t="s">
        <v>288</v>
      </c>
      <c r="K57" s="37"/>
    </row>
    <row r="58" spans="1:11" x14ac:dyDescent="0.3">
      <c r="B58" t="s">
        <v>289</v>
      </c>
      <c r="C58" s="30">
        <f>-C57*C51</f>
        <v>0</v>
      </c>
      <c r="D58" s="30">
        <f>-D57*D51</f>
        <v>233711.32500000001</v>
      </c>
      <c r="E58" s="30">
        <f t="shared" ref="E58:F58" si="15">-E57*E51</f>
        <v>26280000</v>
      </c>
      <c r="F58" s="30">
        <f t="shared" si="15"/>
        <v>83570400</v>
      </c>
      <c r="G58" s="30">
        <f>-G57*G51</f>
        <v>165819500</v>
      </c>
      <c r="H58" s="30">
        <f>-H57*H51</f>
        <v>274304800</v>
      </c>
      <c r="J58" t="s">
        <v>408</v>
      </c>
    </row>
    <row r="60" spans="1:11" x14ac:dyDescent="0.3">
      <c r="B60" s="116" t="s">
        <v>176</v>
      </c>
      <c r="C60" s="117">
        <f t="shared" ref="C60:H60" si="16">C26+C51+C53+C58</f>
        <v>677091.29464285716</v>
      </c>
      <c r="D60" s="117">
        <f t="shared" si="16"/>
        <v>8757300.8249999993</v>
      </c>
      <c r="E60" s="117">
        <f t="shared" si="16"/>
        <v>89352000</v>
      </c>
      <c r="F60" s="117">
        <f t="shared" si="16"/>
        <v>118391400</v>
      </c>
      <c r="G60" s="117">
        <f t="shared" si="16"/>
        <v>-284262000</v>
      </c>
      <c r="H60" s="117">
        <f t="shared" si="16"/>
        <v>-626982400</v>
      </c>
      <c r="J60" t="s">
        <v>157</v>
      </c>
    </row>
    <row r="62" spans="1:11" x14ac:dyDescent="0.3">
      <c r="A62" s="21"/>
      <c r="B62" s="131" t="s">
        <v>475</v>
      </c>
      <c r="C62" s="21"/>
      <c r="D62" s="21"/>
      <c r="E62" s="21"/>
      <c r="F62" s="21"/>
      <c r="G62" s="21"/>
      <c r="H62" s="21"/>
    </row>
    <row r="64" spans="1:11" x14ac:dyDescent="0.3">
      <c r="B64" s="58" t="s">
        <v>63</v>
      </c>
    </row>
    <row r="65" spans="2:8" x14ac:dyDescent="0.3">
      <c r="B65" s="3" t="s">
        <v>528</v>
      </c>
      <c r="C65" s="15">
        <f>(C51+C58)*Lähtöarvot!$B$102</f>
        <v>-9162.9952394464308</v>
      </c>
      <c r="D65" s="15">
        <f>(D51+D58)*Lähtöarvot!$B$102</f>
        <v>-142325.42921397</v>
      </c>
      <c r="E65" s="15">
        <f>(E51+E58)*Lähtöarvot!$B$102</f>
        <v>-7112881.7280000001</v>
      </c>
      <c r="F65" s="15">
        <f>(F51+F58)*Lähtöarvot!$B$102</f>
        <v>-22618963.895039998</v>
      </c>
      <c r="G65" s="15">
        <f>(G51+G58)*Lähtöarvot!$B$102</f>
        <v>-100980692.78219999</v>
      </c>
      <c r="H65" s="15">
        <f>(H51+H58)*Lähtöarvot!$B$102</f>
        <v>-167046027.38207999</v>
      </c>
    </row>
    <row r="66" spans="2:8" x14ac:dyDescent="0.3">
      <c r="B66" s="3" t="s">
        <v>529</v>
      </c>
      <c r="C66" s="15">
        <f>C53*Lähtöarvot!$B$104</f>
        <v>-5131.2773340900003</v>
      </c>
      <c r="D66" s="15">
        <f>D53*Lähtöarvot!$B$104</f>
        <v>-78139.451333159988</v>
      </c>
      <c r="E66" s="15">
        <f>E53*Lähtöarvot!$B$104</f>
        <v>-896223.09772799991</v>
      </c>
      <c r="F66" s="15">
        <f>F53*Lähtöarvot!$B$104</f>
        <v>-1583327.4726527999</v>
      </c>
      <c r="G66" s="15">
        <f>G53*Lähtöarvot!$B$104</f>
        <v>-2692818.4741919995</v>
      </c>
      <c r="H66" s="15">
        <f>H53*Lähtöarvot!$B$104</f>
        <v>-4454560.7301887991</v>
      </c>
    </row>
    <row r="67" spans="2:8" x14ac:dyDescent="0.3">
      <c r="B67" s="3" t="s">
        <v>530</v>
      </c>
      <c r="C67" s="15">
        <f>C26*Lähtöarvot!$B$104</f>
        <v>35918.94133863</v>
      </c>
      <c r="D67" s="15">
        <f>D26*Lähtöarvot!$B$104</f>
        <v>489673.89502113598</v>
      </c>
      <c r="E67" s="15">
        <f>E26*Lähtöarvot!$B$104</f>
        <v>8265168.5679359995</v>
      </c>
      <c r="F67" s="15">
        <f>F26*Lähtöarvot!$B$104</f>
        <v>18736041.7597248</v>
      </c>
      <c r="G67" s="15">
        <f>G26*Lähtöarvot!$B$104</f>
        <v>48470732.535455994</v>
      </c>
      <c r="H67" s="15">
        <f>H26*Lähtöarvot!$B$104</f>
        <v>74242678.836479992</v>
      </c>
    </row>
    <row r="68" spans="2:8" x14ac:dyDescent="0.3">
      <c r="B68" s="3" t="s">
        <v>492</v>
      </c>
      <c r="C68" s="15">
        <f>-C22*C39*Lähtöarvot!$C$69</f>
        <v>-161.0957275135714</v>
      </c>
      <c r="D68" s="15">
        <f>-D22*D39*Lähtöarvot!$C$69</f>
        <v>-2780.2673160119998</v>
      </c>
      <c r="E68" s="15">
        <f>-E22*E39*Lähtöarvot!$C$69</f>
        <v>-117236.65679999998</v>
      </c>
      <c r="F68" s="15">
        <f>-F22*F39*Lähtöarvot!$C$69</f>
        <v>-372812.56862399995</v>
      </c>
      <c r="G68" s="15">
        <f>-G22*G39*Lähtöarvot!$C$69</f>
        <v>-1210468.4814599999</v>
      </c>
      <c r="H68" s="15">
        <f>-H22*H39*Lähtöarvot!$C$69</f>
        <v>-2002402.0981439995</v>
      </c>
    </row>
    <row r="69" spans="2:8" x14ac:dyDescent="0.3">
      <c r="B69" s="3" t="s">
        <v>495</v>
      </c>
      <c r="C69" s="15">
        <f>SUM(C65:C68)</f>
        <v>21463.573037580001</v>
      </c>
      <c r="D69" s="15">
        <f>SUM(D65:D68)</f>
        <v>266428.74715799402</v>
      </c>
      <c r="E69" s="15">
        <f t="shared" ref="E69:H69" si="17">SUM(E65:E68)</f>
        <v>138827.08540799934</v>
      </c>
      <c r="F69" s="15">
        <f t="shared" si="17"/>
        <v>-5839062.1765919989</v>
      </c>
      <c r="G69" s="15">
        <f t="shared" si="17"/>
        <v>-56413247.20239599</v>
      </c>
      <c r="H69" s="15">
        <f t="shared" si="17"/>
        <v>-99260311.373932779</v>
      </c>
    </row>
    <row r="71" spans="2:8" x14ac:dyDescent="0.3">
      <c r="B71" s="58" t="s">
        <v>81</v>
      </c>
    </row>
    <row r="72" spans="2:8" x14ac:dyDescent="0.3">
      <c r="B72" t="s">
        <v>133</v>
      </c>
      <c r="C72" s="15">
        <f t="shared" ref="C72:H72" si="18">C26</f>
        <v>947927.81250000012</v>
      </c>
      <c r="D72" s="15">
        <f t="shared" si="18"/>
        <v>12922861.5</v>
      </c>
      <c r="E72" s="15">
        <f t="shared" si="18"/>
        <v>218124000</v>
      </c>
      <c r="F72" s="15">
        <f t="shared" si="18"/>
        <v>494458200</v>
      </c>
      <c r="G72" s="15">
        <f t="shared" si="18"/>
        <v>1279179000</v>
      </c>
      <c r="H72" s="15">
        <f t="shared" si="18"/>
        <v>1959320000</v>
      </c>
    </row>
    <row r="73" spans="2:8" x14ac:dyDescent="0.3">
      <c r="B73" t="s">
        <v>159</v>
      </c>
      <c r="C73" s="15">
        <f t="shared" ref="C73:H73" si="19">C51+C53+C58</f>
        <v>-270836.5178571429</v>
      </c>
      <c r="D73" s="15">
        <f t="shared" si="19"/>
        <v>-4165560.6749999998</v>
      </c>
      <c r="E73" s="15">
        <f t="shared" si="19"/>
        <v>-128772000</v>
      </c>
      <c r="F73" s="15">
        <f t="shared" si="19"/>
        <v>-376066800</v>
      </c>
      <c r="G73" s="15">
        <f t="shared" si="19"/>
        <v>-1563441000</v>
      </c>
      <c r="H73" s="15">
        <f t="shared" si="19"/>
        <v>-2586302400</v>
      </c>
    </row>
    <row r="74" spans="2:8" x14ac:dyDescent="0.3">
      <c r="B74" t="s">
        <v>171</v>
      </c>
      <c r="C74" s="15">
        <f>C72*Lähtöarvot!$M$130</f>
        <v>15576.43986814219</v>
      </c>
      <c r="D74" s="15">
        <f>D72*Lähtöarvot!$M$130</f>
        <v>212349.68783984252</v>
      </c>
      <c r="E74" s="15">
        <f>E72*Lähtöarvot!$M$130</f>
        <v>3584234.2897800002</v>
      </c>
      <c r="F74" s="15">
        <f>F72*Lähtöarvot!$M$130</f>
        <v>8124984.1159290001</v>
      </c>
      <c r="G74" s="15">
        <f>G72*Lähtöarvot!$M$130</f>
        <v>21019590.850005001</v>
      </c>
      <c r="H74" s="15">
        <f>H72*Lähtöarvot!$M$130</f>
        <v>32195732.375400003</v>
      </c>
    </row>
    <row r="75" spans="2:8" x14ac:dyDescent="0.3">
      <c r="B75" t="s">
        <v>172</v>
      </c>
      <c r="C75" s="15">
        <f>C73*Lähtöarvot!$M$119</f>
        <v>-2393.4418923375001</v>
      </c>
      <c r="D75" s="15">
        <f>D73*Lähtöarvot!$M$119</f>
        <v>-36811.976108323499</v>
      </c>
      <c r="E75" s="15">
        <f>E73*Lähtöarvot!$M$119</f>
        <v>-1137986.4938399999</v>
      </c>
      <c r="F75" s="15">
        <f>F73*Lähtöarvot!$M$119</f>
        <v>-3323385.046296</v>
      </c>
      <c r="G75" s="15">
        <f>G73*Lähtöarvot!$M$119</f>
        <v>-13816472.07402</v>
      </c>
      <c r="H75" s="15">
        <f>H73*Lähtöarvot!$M$119</f>
        <v>-22855723.295327999</v>
      </c>
    </row>
    <row r="76" spans="2:8" x14ac:dyDescent="0.3">
      <c r="B76" t="s">
        <v>170</v>
      </c>
      <c r="C76" s="15">
        <f>C74+C75</f>
        <v>13182.99797580469</v>
      </c>
      <c r="D76" s="15">
        <f t="shared" ref="D76:H76" si="20">D74+D75</f>
        <v>175537.71173151903</v>
      </c>
      <c r="E76" s="15">
        <f t="shared" si="20"/>
        <v>2446247.7959400006</v>
      </c>
      <c r="F76" s="15">
        <f t="shared" si="20"/>
        <v>4801599.0696329996</v>
      </c>
      <c r="G76" s="15">
        <f t="shared" si="20"/>
        <v>7203118.7759850007</v>
      </c>
      <c r="H76" s="15">
        <f t="shared" si="20"/>
        <v>9340009.0800720043</v>
      </c>
    </row>
    <row r="77" spans="2:8" x14ac:dyDescent="0.3">
      <c r="C77" s="15"/>
      <c r="D77" s="15"/>
      <c r="E77" s="15"/>
      <c r="F77" s="15"/>
      <c r="G77" s="15"/>
      <c r="H77" s="15"/>
    </row>
    <row r="78" spans="2:8" x14ac:dyDescent="0.3">
      <c r="B78" s="58" t="s">
        <v>98</v>
      </c>
      <c r="C78" s="15"/>
      <c r="D78" s="15"/>
      <c r="E78" s="15"/>
      <c r="F78" s="15"/>
      <c r="G78" s="15"/>
      <c r="H78" s="15"/>
    </row>
    <row r="79" spans="2:8" x14ac:dyDescent="0.3">
      <c r="B79" t="s">
        <v>175</v>
      </c>
      <c r="C79" s="15">
        <f>C60*Lähtöarvot!$E$124</f>
        <v>1421.8917187499999</v>
      </c>
      <c r="D79" s="15">
        <f>D60*Lähtöarvot!$E$124</f>
        <v>18390.331732499999</v>
      </c>
      <c r="E79" s="15">
        <f>E60*Lähtöarvot!$E$124</f>
        <v>187639.19999999998</v>
      </c>
      <c r="F79" s="15">
        <f>F60*Lähtöarvot!$E$124</f>
        <v>248621.93999999997</v>
      </c>
      <c r="G79" s="15">
        <f>G60*Lähtöarvot!$E$124</f>
        <v>-596950.19999999995</v>
      </c>
      <c r="H79" s="15">
        <f>H60*Lähtöarvot!$E$124</f>
        <v>-1316663.0399999998</v>
      </c>
    </row>
    <row r="81" spans="1:13" x14ac:dyDescent="0.3">
      <c r="B81" s="62" t="s">
        <v>179</v>
      </c>
    </row>
    <row r="82" spans="1:13" ht="15" customHeight="1" x14ac:dyDescent="0.3">
      <c r="B82" s="115" t="s">
        <v>247</v>
      </c>
      <c r="C82" s="6"/>
      <c r="D82" s="6"/>
      <c r="E82" s="6"/>
      <c r="F82" s="6"/>
      <c r="G82" s="6"/>
      <c r="H82" s="6"/>
      <c r="J82" t="s">
        <v>194</v>
      </c>
    </row>
    <row r="83" spans="1:13" ht="15" customHeight="1" x14ac:dyDescent="0.3">
      <c r="B83" s="115" t="s">
        <v>442</v>
      </c>
      <c r="C83" s="6"/>
      <c r="D83" s="6"/>
      <c r="E83" s="6"/>
      <c r="F83" s="6"/>
      <c r="G83" s="6"/>
      <c r="H83" s="6"/>
      <c r="J83" t="s">
        <v>195</v>
      </c>
    </row>
    <row r="84" spans="1:13" ht="15" customHeight="1" x14ac:dyDescent="0.3">
      <c r="B84" s="115" t="s">
        <v>443</v>
      </c>
      <c r="C84" s="6"/>
      <c r="D84" s="6"/>
      <c r="E84" s="6"/>
      <c r="F84" s="6"/>
      <c r="G84" s="6"/>
      <c r="H84" s="6"/>
      <c r="J84" t="s">
        <v>193</v>
      </c>
      <c r="M84" s="45">
        <f>420000/(1100000/1000)</f>
        <v>381.81818181818181</v>
      </c>
    </row>
    <row r="85" spans="1:13" x14ac:dyDescent="0.3">
      <c r="B85" s="85" t="s">
        <v>250</v>
      </c>
      <c r="C85" s="86"/>
      <c r="D85" s="86"/>
      <c r="E85" s="86"/>
      <c r="F85" s="86"/>
      <c r="G85" s="86"/>
      <c r="H85" s="86"/>
    </row>
    <row r="86" spans="1:13" x14ac:dyDescent="0.3">
      <c r="A86" s="89"/>
      <c r="B86" s="81" t="s">
        <v>230</v>
      </c>
      <c r="C86" s="91">
        <v>0.1</v>
      </c>
      <c r="D86" s="92">
        <v>1</v>
      </c>
      <c r="E86" s="92">
        <v>5</v>
      </c>
      <c r="F86" s="92">
        <v>10</v>
      </c>
      <c r="G86" s="92">
        <v>15</v>
      </c>
      <c r="H86" s="92">
        <v>20</v>
      </c>
    </row>
    <row r="87" spans="1:13" x14ac:dyDescent="0.3">
      <c r="B87" s="81" t="s">
        <v>231</v>
      </c>
      <c r="C87" s="81">
        <f t="shared" ref="C87:H87" si="21">C86*(1100000/1000)</f>
        <v>110</v>
      </c>
      <c r="D87" s="81">
        <f t="shared" si="21"/>
        <v>1100</v>
      </c>
      <c r="E87" s="81">
        <f t="shared" si="21"/>
        <v>5500</v>
      </c>
      <c r="F87" s="81">
        <f t="shared" si="21"/>
        <v>11000</v>
      </c>
      <c r="G87" s="81">
        <f t="shared" si="21"/>
        <v>16500</v>
      </c>
      <c r="H87" s="81">
        <f t="shared" si="21"/>
        <v>22000</v>
      </c>
    </row>
    <row r="88" spans="1:13" x14ac:dyDescent="0.3">
      <c r="B88" s="81" t="s">
        <v>192</v>
      </c>
      <c r="C88" s="84">
        <f>-(C87-C16)*Lähtöarvot!$E$175</f>
        <v>-114000</v>
      </c>
      <c r="D88" s="84">
        <f>-(D87-D16)*Lähtöarvot!$E$175</f>
        <v>-1200000</v>
      </c>
      <c r="E88" s="84">
        <f>-(E87-E16)*Lähtöarvot!$E$175</f>
        <v>-5400000</v>
      </c>
      <c r="F88" s="84">
        <f>-(F87-F16)*Lähtöarvot!$E$175</f>
        <v>-10800000</v>
      </c>
      <c r="G88" s="84">
        <f>-(G87-G16)*Lähtöarvot!$E$175</f>
        <v>-13800000</v>
      </c>
      <c r="H88" s="84">
        <f>-(H87-H16)*Lähtöarvot!$E$175</f>
        <v>-16800000</v>
      </c>
      <c r="J88" t="s">
        <v>405</v>
      </c>
    </row>
    <row r="89" spans="1:13" x14ac:dyDescent="0.3">
      <c r="B89" s="79" t="s">
        <v>232</v>
      </c>
      <c r="C89" s="83"/>
      <c r="D89" s="83"/>
      <c r="E89" s="83"/>
      <c r="F89" s="83"/>
      <c r="G89" s="83"/>
      <c r="H89" s="83"/>
      <c r="J89" t="s">
        <v>406</v>
      </c>
    </row>
    <row r="90" spans="1:13" x14ac:dyDescent="0.3">
      <c r="A90" s="89"/>
      <c r="B90" s="49" t="s">
        <v>233</v>
      </c>
      <c r="C90" s="90">
        <v>5</v>
      </c>
      <c r="D90" s="90">
        <v>5</v>
      </c>
      <c r="E90" s="90">
        <v>7</v>
      </c>
      <c r="F90" s="90">
        <v>7</v>
      </c>
      <c r="G90" s="90">
        <v>10</v>
      </c>
      <c r="H90" s="90">
        <v>10</v>
      </c>
    </row>
    <row r="91" spans="1:13" x14ac:dyDescent="0.3">
      <c r="B91" s="49" t="s">
        <v>404</v>
      </c>
      <c r="C91" s="49">
        <f t="shared" ref="C91:H91" si="22">C16*C90</f>
        <v>75</v>
      </c>
      <c r="D91" s="49">
        <f t="shared" si="22"/>
        <v>500</v>
      </c>
      <c r="E91" s="49">
        <f t="shared" si="22"/>
        <v>7000</v>
      </c>
      <c r="F91" s="49">
        <f t="shared" si="22"/>
        <v>14000</v>
      </c>
      <c r="G91" s="49">
        <f t="shared" si="22"/>
        <v>50000</v>
      </c>
      <c r="H91" s="49">
        <f t="shared" si="22"/>
        <v>80000</v>
      </c>
    </row>
    <row r="92" spans="1:13" x14ac:dyDescent="0.3">
      <c r="B92" s="49" t="s">
        <v>192</v>
      </c>
      <c r="C92" s="83">
        <f>-(C91-C16)*Lähtöarvot!$E$175</f>
        <v>-72000</v>
      </c>
      <c r="D92" s="83">
        <f>-(D91-D16)*Lähtöarvot!$E$175</f>
        <v>-480000</v>
      </c>
      <c r="E92" s="83">
        <f>-(E91-E16)*Lähtöarvot!$E$175</f>
        <v>-7200000</v>
      </c>
      <c r="F92" s="83">
        <f>-(F91-F16)*Lähtöarvot!$E$175</f>
        <v>-14400000</v>
      </c>
      <c r="G92" s="83">
        <f>-(G91-G16)*Lähtöarvot!$E$175</f>
        <v>-54000000</v>
      </c>
      <c r="H92" s="83">
        <f>-(H91-H16)*Lähtöarvot!$E$175</f>
        <v>-86400000</v>
      </c>
      <c r="J92" t="s">
        <v>405</v>
      </c>
    </row>
    <row r="93" spans="1:13" x14ac:dyDescent="0.3">
      <c r="B93" s="49"/>
      <c r="C93" s="83"/>
      <c r="D93" s="83"/>
      <c r="E93" s="83"/>
      <c r="F93" s="83"/>
      <c r="G93" s="83"/>
      <c r="H93" s="83"/>
      <c r="J93" t="s">
        <v>406</v>
      </c>
    </row>
    <row r="94" spans="1:13" x14ac:dyDescent="0.3">
      <c r="B94" s="80" t="s">
        <v>441</v>
      </c>
      <c r="C94" s="83"/>
      <c r="D94" s="83"/>
      <c r="E94" s="83"/>
      <c r="F94" s="83"/>
      <c r="G94" s="83"/>
      <c r="H94" s="83"/>
    </row>
    <row r="95" spans="1:13" x14ac:dyDescent="0.3">
      <c r="B95" s="79" t="s">
        <v>446</v>
      </c>
      <c r="C95" s="83"/>
      <c r="D95" s="83"/>
      <c r="E95" s="83"/>
      <c r="F95" s="83"/>
      <c r="G95" s="83"/>
      <c r="H95" s="83"/>
    </row>
    <row r="96" spans="1:13" x14ac:dyDescent="0.3">
      <c r="B96" s="79" t="s">
        <v>451</v>
      </c>
      <c r="C96" s="83"/>
      <c r="D96" s="83"/>
      <c r="E96" s="83"/>
      <c r="F96" s="83"/>
      <c r="G96" s="83"/>
      <c r="H96" s="83"/>
    </row>
    <row r="97" spans="1:10" x14ac:dyDescent="0.3">
      <c r="B97" s="49" t="s">
        <v>447</v>
      </c>
      <c r="C97" s="78">
        <f>-(C91-C16)*2*Lähtöarvot!$D$185*Lähtöarvot!$D$196/10</f>
        <v>-28800</v>
      </c>
      <c r="D97" s="78">
        <f>-(D91-D16)*2*Lähtöarvot!$D$185*Lähtöarvot!$D$196/10</f>
        <v>-192000</v>
      </c>
      <c r="E97" s="78">
        <f>-(E91-E16)*2*Lähtöarvot!$D$185*Lähtöarvot!$D$196/10</f>
        <v>-2880000</v>
      </c>
      <c r="F97" s="78">
        <f>-(F91-F16)*2*Lähtöarvot!$D$185*Lähtöarvot!$D$196/10</f>
        <v>-5760000</v>
      </c>
      <c r="G97" s="78">
        <f>-(G91-G16)*2*Lähtöarvot!$D$185*Lähtöarvot!$D$196/10</f>
        <v>-21600000</v>
      </c>
      <c r="H97" s="78">
        <f>-(H91-H16)*2*Lähtöarvot!$D$185*Lähtöarvot!$D$196/10</f>
        <v>-34560000</v>
      </c>
    </row>
    <row r="98" spans="1:10" x14ac:dyDescent="0.3">
      <c r="C98" s="15"/>
      <c r="D98" s="15"/>
      <c r="E98" s="15"/>
      <c r="F98" s="15"/>
      <c r="G98" s="15"/>
      <c r="H98" s="15"/>
    </row>
    <row r="99" spans="1:10" x14ac:dyDescent="0.3">
      <c r="B99" s="58" t="s">
        <v>200</v>
      </c>
      <c r="C99" s="15"/>
      <c r="D99" s="15"/>
      <c r="E99" s="15"/>
      <c r="F99" s="15"/>
      <c r="G99" s="15"/>
      <c r="H99" s="15"/>
    </row>
    <row r="100" spans="1:10" x14ac:dyDescent="0.3">
      <c r="A100" s="24"/>
      <c r="B100" s="3" t="s">
        <v>462</v>
      </c>
      <c r="C100" s="43">
        <v>0.4</v>
      </c>
      <c r="D100" s="43">
        <v>0.4</v>
      </c>
      <c r="E100" s="43">
        <v>0.4</v>
      </c>
      <c r="F100" s="43">
        <v>0.4</v>
      </c>
      <c r="G100" s="43">
        <v>0.4</v>
      </c>
      <c r="H100" s="43">
        <v>0.4</v>
      </c>
    </row>
    <row r="101" spans="1:10" x14ac:dyDescent="0.3">
      <c r="A101" s="28"/>
      <c r="B101" s="3" t="s">
        <v>201</v>
      </c>
      <c r="C101" s="42">
        <f>1-C100</f>
        <v>0.6</v>
      </c>
      <c r="D101" s="42">
        <f t="shared" ref="D101:H101" si="23">1-D100</f>
        <v>0.6</v>
      </c>
      <c r="E101" s="42">
        <f t="shared" si="23"/>
        <v>0.6</v>
      </c>
      <c r="F101" s="42">
        <f t="shared" si="23"/>
        <v>0.6</v>
      </c>
      <c r="G101" s="42">
        <f t="shared" si="23"/>
        <v>0.6</v>
      </c>
      <c r="H101" s="42">
        <f t="shared" si="23"/>
        <v>0.6</v>
      </c>
    </row>
    <row r="102" spans="1:10" x14ac:dyDescent="0.3">
      <c r="A102" s="28"/>
      <c r="B102" s="22" t="s">
        <v>477</v>
      </c>
      <c r="C102" s="42"/>
      <c r="D102" s="42"/>
      <c r="E102" s="42"/>
      <c r="F102" s="42"/>
      <c r="G102" s="42"/>
      <c r="H102" s="42"/>
    </row>
    <row r="103" spans="1:10" x14ac:dyDescent="0.3">
      <c r="A103" s="89"/>
      <c r="B103" s="3" t="s">
        <v>202</v>
      </c>
      <c r="C103" s="93">
        <v>0.2</v>
      </c>
      <c r="D103" s="93">
        <v>0.2</v>
      </c>
      <c r="E103" s="93">
        <v>0.3</v>
      </c>
      <c r="F103" s="93">
        <v>0.3</v>
      </c>
      <c r="G103" s="93">
        <v>0.4</v>
      </c>
      <c r="H103" s="93">
        <v>0.4</v>
      </c>
      <c r="J103" t="s">
        <v>203</v>
      </c>
    </row>
    <row r="104" spans="1:10" x14ac:dyDescent="0.3">
      <c r="A104" s="89"/>
      <c r="B104" s="3" t="s">
        <v>204</v>
      </c>
      <c r="C104" s="93">
        <v>0.1</v>
      </c>
      <c r="D104" s="93">
        <v>0.1</v>
      </c>
      <c r="E104" s="93">
        <v>0.15</v>
      </c>
      <c r="F104" s="93">
        <v>0.15</v>
      </c>
      <c r="G104" s="93">
        <v>0.2</v>
      </c>
      <c r="H104" s="93">
        <v>0.2</v>
      </c>
      <c r="J104" t="s">
        <v>478</v>
      </c>
    </row>
    <row r="105" spans="1:10" x14ac:dyDescent="0.3">
      <c r="B105" s="3" t="s">
        <v>205</v>
      </c>
      <c r="C105" s="44">
        <f t="shared" ref="C105:H105" si="24">C17/30</f>
        <v>0.22500000000000001</v>
      </c>
      <c r="D105" s="44">
        <f t="shared" si="24"/>
        <v>0.22500000000000001</v>
      </c>
      <c r="E105" s="44">
        <f t="shared" si="24"/>
        <v>0.3</v>
      </c>
      <c r="F105" s="44">
        <f t="shared" si="24"/>
        <v>0.3</v>
      </c>
      <c r="G105" s="44">
        <f t="shared" si="24"/>
        <v>0.36666666666666664</v>
      </c>
      <c r="H105" s="44">
        <f t="shared" si="24"/>
        <v>0.36666666666666664</v>
      </c>
      <c r="J105" t="s">
        <v>467</v>
      </c>
    </row>
    <row r="106" spans="1:10" x14ac:dyDescent="0.3">
      <c r="A106" s="9" t="s">
        <v>136</v>
      </c>
      <c r="B106" s="9" t="s">
        <v>252</v>
      </c>
      <c r="C106" s="82">
        <f>C105*60</f>
        <v>13.5</v>
      </c>
      <c r="D106" s="82">
        <f t="shared" ref="D106:H106" si="25">D105*60</f>
        <v>13.5</v>
      </c>
      <c r="E106" s="82">
        <f t="shared" si="25"/>
        <v>18</v>
      </c>
      <c r="F106" s="82">
        <f t="shared" si="25"/>
        <v>18</v>
      </c>
      <c r="G106" s="82">
        <f t="shared" si="25"/>
        <v>22</v>
      </c>
      <c r="H106" s="82">
        <f t="shared" si="25"/>
        <v>22</v>
      </c>
    </row>
    <row r="107" spans="1:10" x14ac:dyDescent="0.3">
      <c r="B107" s="28" t="s">
        <v>132</v>
      </c>
      <c r="C107" s="15">
        <f t="shared" ref="C107:H107" si="26">C22</f>
        <v>133746.42857142858</v>
      </c>
      <c r="D107" s="15">
        <f t="shared" si="26"/>
        <v>2036700</v>
      </c>
      <c r="E107" s="15">
        <f t="shared" si="26"/>
        <v>29200000</v>
      </c>
      <c r="F107" s="15">
        <f t="shared" si="26"/>
        <v>77380000</v>
      </c>
      <c r="G107" s="15">
        <f t="shared" si="26"/>
        <v>215350000</v>
      </c>
      <c r="H107" s="15">
        <f t="shared" si="26"/>
        <v>356240000</v>
      </c>
    </row>
    <row r="108" spans="1:10" x14ac:dyDescent="0.3">
      <c r="B108" s="3" t="s">
        <v>207</v>
      </c>
      <c r="C108" s="15">
        <f>C100*C103*C107*C105</f>
        <v>2407.4357142857148</v>
      </c>
      <c r="D108" s="15">
        <f t="shared" ref="D108:H108" si="27">D100*D103*D107*D105</f>
        <v>36660.600000000006</v>
      </c>
      <c r="E108" s="15">
        <f t="shared" si="27"/>
        <v>1051200</v>
      </c>
      <c r="F108" s="15">
        <f t="shared" si="27"/>
        <v>2785680</v>
      </c>
      <c r="G108" s="15">
        <f t="shared" si="27"/>
        <v>12633866.666666668</v>
      </c>
      <c r="H108" s="15">
        <f t="shared" si="27"/>
        <v>20899413.333333336</v>
      </c>
    </row>
    <row r="109" spans="1:10" x14ac:dyDescent="0.3">
      <c r="B109" s="3" t="s">
        <v>208</v>
      </c>
      <c r="C109" s="15">
        <f>C101*C104*C107*C105</f>
        <v>1805.5767857142857</v>
      </c>
      <c r="D109" s="15">
        <f t="shared" ref="D109:H109" si="28">D101*D104*D107*D105</f>
        <v>27495.45</v>
      </c>
      <c r="E109" s="15">
        <f t="shared" si="28"/>
        <v>788400</v>
      </c>
      <c r="F109" s="15">
        <f t="shared" si="28"/>
        <v>2089260</v>
      </c>
      <c r="G109" s="15">
        <f t="shared" si="28"/>
        <v>9475400</v>
      </c>
      <c r="H109" s="15">
        <f t="shared" si="28"/>
        <v>15674559.999999998</v>
      </c>
    </row>
    <row r="110" spans="1:10" x14ac:dyDescent="0.3">
      <c r="A110" s="9" t="s">
        <v>136</v>
      </c>
      <c r="B110" s="9" t="s">
        <v>253</v>
      </c>
      <c r="C110" s="84">
        <f>(C108+C109)/365</f>
        <v>11.542500000000002</v>
      </c>
      <c r="D110" s="84">
        <f t="shared" ref="D110:H110" si="29">(D108+D109)/365</f>
        <v>175.77</v>
      </c>
      <c r="E110" s="84">
        <f t="shared" si="29"/>
        <v>5040</v>
      </c>
      <c r="F110" s="84">
        <f t="shared" si="29"/>
        <v>13356</v>
      </c>
      <c r="G110" s="84">
        <f t="shared" si="29"/>
        <v>60573.333333333336</v>
      </c>
      <c r="H110" s="84">
        <f t="shared" si="29"/>
        <v>100202.66666666667</v>
      </c>
    </row>
    <row r="111" spans="1:10" x14ac:dyDescent="0.3">
      <c r="B111" s="3" t="s">
        <v>206</v>
      </c>
      <c r="C111" s="15">
        <f>-(C108*Lähtöarvot!$E$35+C109*Lähtöarvot!$E$22)</f>
        <v>-45738.335173748703</v>
      </c>
      <c r="D111" s="15">
        <f>-(D108*Lähtöarvot!$E$35+D109*Lähtöarvot!$E$22)</f>
        <v>-696506.57773357676</v>
      </c>
      <c r="E111" s="15">
        <f>-(E108*Lähtöarvot!$E$35+E109*Lähtöarvot!$E$22)</f>
        <v>-19971514.773722626</v>
      </c>
      <c r="F111" s="15">
        <f>-(F108*Lähtöarvot!$E$35+F109*Lähtöarvot!$E$22)</f>
        <v>-52924514.150364965</v>
      </c>
      <c r="G111" s="15">
        <f>-(G108*Lähtöarvot!$E$35+G109*Lähtöarvot!$E$22)</f>
        <v>-240028020.15085161</v>
      </c>
      <c r="H111" s="15">
        <f>-(H108*Lähtöarvot!$E$35+H109*Lähtöarvot!$E$22)</f>
        <v>-397063301.13090026</v>
      </c>
    </row>
    <row r="112" spans="1:10" x14ac:dyDescent="0.3">
      <c r="B112" s="3"/>
      <c r="C112" s="15"/>
      <c r="D112" s="15"/>
      <c r="E112" s="15"/>
      <c r="F112" s="15"/>
      <c r="G112" s="15"/>
      <c r="H112" s="15"/>
    </row>
    <row r="113" spans="1:10" x14ac:dyDescent="0.3">
      <c r="A113" s="21"/>
      <c r="B113" s="131" t="s">
        <v>476</v>
      </c>
      <c r="C113" s="132"/>
      <c r="D113" s="132"/>
      <c r="E113" s="132"/>
      <c r="F113" s="132"/>
      <c r="G113" s="132"/>
      <c r="H113" s="132"/>
    </row>
    <row r="115" spans="1:10" x14ac:dyDescent="0.3">
      <c r="B115" s="1" t="s">
        <v>466</v>
      </c>
      <c r="C115" s="6"/>
      <c r="D115" s="6"/>
      <c r="E115" s="6"/>
      <c r="F115" s="6"/>
      <c r="G115" s="6"/>
      <c r="H115" s="6"/>
    </row>
    <row r="116" spans="1:10" x14ac:dyDescent="0.3">
      <c r="B116" s="19" t="s">
        <v>124</v>
      </c>
      <c r="C116" s="8">
        <f t="shared" ref="C116:H116" si="30">C16</f>
        <v>15</v>
      </c>
      <c r="D116" s="8">
        <f t="shared" si="30"/>
        <v>100</v>
      </c>
      <c r="E116" s="8">
        <f t="shared" si="30"/>
        <v>1000</v>
      </c>
      <c r="F116" s="8">
        <f t="shared" si="30"/>
        <v>2000</v>
      </c>
      <c r="G116" s="8">
        <f t="shared" si="30"/>
        <v>5000</v>
      </c>
      <c r="H116" s="8">
        <f t="shared" si="30"/>
        <v>8000</v>
      </c>
    </row>
    <row r="117" spans="1:10" x14ac:dyDescent="0.3">
      <c r="B117" t="s">
        <v>180</v>
      </c>
      <c r="C117" s="59">
        <f>C69/1000000</f>
        <v>2.1463573037580001E-2</v>
      </c>
      <c r="D117" s="59">
        <f t="shared" ref="D117:H117" si="31">D69/1000000</f>
        <v>0.26642874715799403</v>
      </c>
      <c r="E117" s="59">
        <f t="shared" si="31"/>
        <v>0.13882708540799935</v>
      </c>
      <c r="F117" s="59">
        <f t="shared" si="31"/>
        <v>-5.839062176591999</v>
      </c>
      <c r="G117" s="59">
        <f t="shared" si="31"/>
        <v>-56.413247202395993</v>
      </c>
      <c r="H117" s="59">
        <f t="shared" si="31"/>
        <v>-99.26031137393278</v>
      </c>
      <c r="J117" t="s">
        <v>173</v>
      </c>
    </row>
    <row r="118" spans="1:10" x14ac:dyDescent="0.3">
      <c r="B118" t="s">
        <v>181</v>
      </c>
      <c r="C118" s="59">
        <f t="shared" ref="C118:H118" si="32">C76/1000000</f>
        <v>1.3182997975804691E-2</v>
      </c>
      <c r="D118" s="59">
        <f t="shared" si="32"/>
        <v>0.17553771173151902</v>
      </c>
      <c r="E118" s="59">
        <f t="shared" si="32"/>
        <v>2.4462477959400006</v>
      </c>
      <c r="F118" s="59">
        <f t="shared" si="32"/>
        <v>4.8015990696329993</v>
      </c>
      <c r="G118" s="59">
        <f t="shared" si="32"/>
        <v>7.2031187759850006</v>
      </c>
      <c r="H118" s="59">
        <f t="shared" si="32"/>
        <v>9.3400090800720044</v>
      </c>
      <c r="J118" t="s">
        <v>174</v>
      </c>
    </row>
    <row r="119" spans="1:10" x14ac:dyDescent="0.3">
      <c r="B119" t="s">
        <v>182</v>
      </c>
      <c r="C119" s="59">
        <f t="shared" ref="C119:H119" si="33">C79/1000000</f>
        <v>1.4218917187499998E-3</v>
      </c>
      <c r="D119" s="59">
        <f t="shared" si="33"/>
        <v>1.8390331732499998E-2</v>
      </c>
      <c r="E119" s="59">
        <f t="shared" si="33"/>
        <v>0.18763919999999998</v>
      </c>
      <c r="F119" s="59">
        <f t="shared" si="33"/>
        <v>0.24862193999999999</v>
      </c>
      <c r="G119" s="59">
        <f t="shared" si="33"/>
        <v>-0.59695019999999999</v>
      </c>
      <c r="H119" s="59">
        <f t="shared" si="33"/>
        <v>-1.3166630399999999</v>
      </c>
    </row>
    <row r="120" spans="1:10" x14ac:dyDescent="0.3">
      <c r="B120" t="s">
        <v>449</v>
      </c>
      <c r="C120" s="59">
        <f t="shared" ref="C120:H120" si="34">C92/1000000</f>
        <v>-7.1999999999999995E-2</v>
      </c>
      <c r="D120" s="59">
        <f t="shared" si="34"/>
        <v>-0.48</v>
      </c>
      <c r="E120" s="59">
        <f t="shared" si="34"/>
        <v>-7.2</v>
      </c>
      <c r="F120" s="59">
        <f t="shared" si="34"/>
        <v>-14.4</v>
      </c>
      <c r="G120" s="59">
        <f t="shared" si="34"/>
        <v>-54</v>
      </c>
      <c r="H120" s="59">
        <f t="shared" si="34"/>
        <v>-86.4</v>
      </c>
    </row>
    <row r="121" spans="1:10" x14ac:dyDescent="0.3">
      <c r="B121" t="s">
        <v>450</v>
      </c>
      <c r="C121" s="59">
        <f>C97/1000000</f>
        <v>-2.8799999999999999E-2</v>
      </c>
      <c r="D121" s="59">
        <f t="shared" ref="D121:H121" si="35">D97/1000000</f>
        <v>-0.192</v>
      </c>
      <c r="E121" s="59">
        <f t="shared" si="35"/>
        <v>-2.88</v>
      </c>
      <c r="F121" s="59">
        <f t="shared" si="35"/>
        <v>-5.76</v>
      </c>
      <c r="G121" s="59">
        <f t="shared" si="35"/>
        <v>-21.6</v>
      </c>
      <c r="H121" s="59">
        <f t="shared" si="35"/>
        <v>-34.56</v>
      </c>
    </row>
    <row r="122" spans="1:10" x14ac:dyDescent="0.3">
      <c r="B122" s="8" t="s">
        <v>210</v>
      </c>
      <c r="C122" s="133">
        <f t="shared" ref="C122:H122" si="36">C111/1000000</f>
        <v>-4.5738335173748701E-2</v>
      </c>
      <c r="D122" s="133">
        <f t="shared" si="36"/>
        <v>-0.69650657773357671</v>
      </c>
      <c r="E122" s="133">
        <f t="shared" si="36"/>
        <v>-19.971514773722625</v>
      </c>
      <c r="F122" s="133">
        <f t="shared" si="36"/>
        <v>-52.924514150364963</v>
      </c>
      <c r="G122" s="133">
        <f t="shared" si="36"/>
        <v>-240.0280201508516</v>
      </c>
      <c r="H122" s="133">
        <f t="shared" si="36"/>
        <v>-397.06330113090024</v>
      </c>
    </row>
    <row r="123" spans="1:10" x14ac:dyDescent="0.3">
      <c r="B123" t="s">
        <v>169</v>
      </c>
      <c r="C123" s="59">
        <f>SUM(C117:C122)</f>
        <v>-0.11046987244161401</v>
      </c>
      <c r="D123" s="59">
        <f t="shared" ref="D123:H123" si="37">SUM(D117:D122)</f>
        <v>-0.90814978711156369</v>
      </c>
      <c r="E123" s="59">
        <f t="shared" si="37"/>
        <v>-27.278800692374624</v>
      </c>
      <c r="F123" s="59">
        <f t="shared" si="37"/>
        <v>-73.873355317323956</v>
      </c>
      <c r="G123" s="59">
        <f t="shared" si="37"/>
        <v>-365.43509877726262</v>
      </c>
      <c r="H123" s="59">
        <f t="shared" si="37"/>
        <v>-609.260266464761</v>
      </c>
    </row>
    <row r="125" spans="1:10" x14ac:dyDescent="0.3">
      <c r="B125" s="22"/>
    </row>
    <row r="143" spans="2:8" x14ac:dyDescent="0.3">
      <c r="C143" t="s">
        <v>198</v>
      </c>
    </row>
    <row r="144" spans="2:8" x14ac:dyDescent="0.3">
      <c r="B144" s="64" t="s">
        <v>124</v>
      </c>
      <c r="C144" s="8">
        <f>C116</f>
        <v>15</v>
      </c>
      <c r="D144" s="8">
        <f t="shared" ref="D144:H144" si="38">D116</f>
        <v>100</v>
      </c>
      <c r="E144" s="8">
        <f t="shared" si="38"/>
        <v>1000</v>
      </c>
      <c r="F144" s="8">
        <f t="shared" si="38"/>
        <v>2000</v>
      </c>
      <c r="G144" s="8">
        <f t="shared" si="38"/>
        <v>5000</v>
      </c>
      <c r="H144" s="8">
        <f t="shared" si="38"/>
        <v>8000</v>
      </c>
    </row>
    <row r="145" spans="2:8" x14ac:dyDescent="0.3">
      <c r="B145" s="38" t="s">
        <v>254</v>
      </c>
      <c r="C145">
        <f t="shared" ref="C145:H145" si="39">C91</f>
        <v>75</v>
      </c>
      <c r="D145">
        <f t="shared" si="39"/>
        <v>500</v>
      </c>
      <c r="E145">
        <f t="shared" si="39"/>
        <v>7000</v>
      </c>
      <c r="F145">
        <f t="shared" si="39"/>
        <v>14000</v>
      </c>
      <c r="G145">
        <f t="shared" si="39"/>
        <v>50000</v>
      </c>
      <c r="H145">
        <f t="shared" si="39"/>
        <v>80000</v>
      </c>
    </row>
    <row r="146" spans="2:8" x14ac:dyDescent="0.3">
      <c r="B146" s="38" t="s">
        <v>196</v>
      </c>
      <c r="C146" s="39">
        <f t="shared" ref="C146:H146" si="40">C39</f>
        <v>0.15</v>
      </c>
      <c r="D146" s="39">
        <f t="shared" si="40"/>
        <v>0.17</v>
      </c>
      <c r="E146" s="39">
        <f t="shared" si="40"/>
        <v>0.5</v>
      </c>
      <c r="F146" s="39">
        <f t="shared" si="40"/>
        <v>0.6</v>
      </c>
      <c r="G146" s="39">
        <f t="shared" si="40"/>
        <v>0.7</v>
      </c>
      <c r="H146" s="39">
        <f t="shared" si="40"/>
        <v>0.7</v>
      </c>
    </row>
    <row r="147" spans="2:8" x14ac:dyDescent="0.3">
      <c r="B147" s="38" t="s">
        <v>199</v>
      </c>
      <c r="C147" s="39">
        <f t="shared" ref="C147:H148" si="41">C41</f>
        <v>0.1</v>
      </c>
      <c r="D147" s="39">
        <f t="shared" si="41"/>
        <v>0.1</v>
      </c>
      <c r="E147" s="39">
        <f t="shared" si="41"/>
        <v>0.06</v>
      </c>
      <c r="F147" s="39">
        <f t="shared" si="41"/>
        <v>0.04</v>
      </c>
      <c r="G147" s="39">
        <f t="shared" si="41"/>
        <v>0.02</v>
      </c>
      <c r="H147" s="39">
        <f t="shared" si="41"/>
        <v>0.02</v>
      </c>
    </row>
    <row r="148" spans="2:8" x14ac:dyDescent="0.3">
      <c r="B148" s="38" t="s">
        <v>197</v>
      </c>
      <c r="C148" s="39">
        <f t="shared" si="41"/>
        <v>0.65</v>
      </c>
      <c r="D148" s="39">
        <f t="shared" si="41"/>
        <v>0.64</v>
      </c>
      <c r="E148" s="39">
        <f t="shared" si="41"/>
        <v>0.35</v>
      </c>
      <c r="F148" s="39">
        <f t="shared" si="41"/>
        <v>0.28000000000000003</v>
      </c>
      <c r="G148" s="39">
        <f t="shared" si="41"/>
        <v>0.19</v>
      </c>
      <c r="H148" s="39">
        <f t="shared" si="41"/>
        <v>0.2</v>
      </c>
    </row>
    <row r="149" spans="2:8" x14ac:dyDescent="0.3">
      <c r="B149" s="66" t="s">
        <v>202</v>
      </c>
      <c r="C149" s="39">
        <f t="shared" ref="C149:H150" si="42">C103</f>
        <v>0.2</v>
      </c>
      <c r="D149" s="39">
        <f t="shared" si="42"/>
        <v>0.2</v>
      </c>
      <c r="E149" s="39">
        <f t="shared" si="42"/>
        <v>0.3</v>
      </c>
      <c r="F149" s="39">
        <f t="shared" si="42"/>
        <v>0.3</v>
      </c>
      <c r="G149" s="39">
        <f t="shared" si="42"/>
        <v>0.4</v>
      </c>
      <c r="H149" s="39">
        <f t="shared" si="42"/>
        <v>0.4</v>
      </c>
    </row>
    <row r="150" spans="2:8" x14ac:dyDescent="0.3">
      <c r="B150" s="66" t="s">
        <v>204</v>
      </c>
      <c r="C150" s="39">
        <f t="shared" si="42"/>
        <v>0.1</v>
      </c>
      <c r="D150" s="39">
        <f t="shared" si="42"/>
        <v>0.1</v>
      </c>
      <c r="E150" s="39">
        <f t="shared" si="42"/>
        <v>0.15</v>
      </c>
      <c r="F150" s="39">
        <f t="shared" si="42"/>
        <v>0.15</v>
      </c>
      <c r="G150" s="39">
        <f t="shared" si="42"/>
        <v>0.2</v>
      </c>
      <c r="H150" s="39">
        <f t="shared" si="42"/>
        <v>0.2</v>
      </c>
    </row>
    <row r="151" spans="2:8" x14ac:dyDescent="0.3">
      <c r="B151" s="66"/>
      <c r="C151" s="39"/>
    </row>
  </sheetData>
  <mergeCells count="2">
    <mergeCell ref="A17:A19"/>
    <mergeCell ref="A39:A4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workbookViewId="0">
      <selection activeCell="B11" sqref="B11"/>
    </sheetView>
  </sheetViews>
  <sheetFormatPr defaultRowHeight="14.4" x14ac:dyDescent="0.3"/>
  <cols>
    <col min="1" max="1" width="17.109375" customWidth="1"/>
    <col min="2" max="2" width="56.44140625" customWidth="1"/>
    <col min="3" max="3" width="18.88671875" customWidth="1"/>
    <col min="4" max="4" width="10.33203125" customWidth="1"/>
    <col min="5" max="5" width="11.5546875" customWidth="1"/>
    <col min="6" max="6" width="11.44140625" customWidth="1"/>
    <col min="7" max="7" width="13" customWidth="1"/>
    <col min="8" max="8" width="13.33203125" customWidth="1"/>
    <col min="9" max="9" width="9.5546875" bestFit="1" customWidth="1"/>
  </cols>
  <sheetData>
    <row r="1" spans="1:11" x14ac:dyDescent="0.3">
      <c r="B1" s="1" t="s">
        <v>463</v>
      </c>
      <c r="C1" s="1" t="s">
        <v>676</v>
      </c>
    </row>
    <row r="2" spans="1:11" ht="15" x14ac:dyDescent="0.25">
      <c r="B2" s="1"/>
    </row>
    <row r="3" spans="1:11" x14ac:dyDescent="0.3">
      <c r="B3" t="s">
        <v>572</v>
      </c>
    </row>
    <row r="4" spans="1:11" x14ac:dyDescent="0.3">
      <c r="B4" t="s">
        <v>256</v>
      </c>
    </row>
    <row r="5" spans="1:11" x14ac:dyDescent="0.3">
      <c r="B5" t="s">
        <v>464</v>
      </c>
    </row>
    <row r="7" spans="1:11" x14ac:dyDescent="0.3">
      <c r="B7" t="s">
        <v>270</v>
      </c>
    </row>
    <row r="9" spans="1:11" x14ac:dyDescent="0.3">
      <c r="B9" s="87" t="s">
        <v>142</v>
      </c>
      <c r="D9" t="s">
        <v>173</v>
      </c>
    </row>
    <row r="10" spans="1:11" x14ac:dyDescent="0.3">
      <c r="B10" s="24" t="s">
        <v>420</v>
      </c>
      <c r="D10" t="s">
        <v>174</v>
      </c>
    </row>
    <row r="11" spans="1:11" x14ac:dyDescent="0.3">
      <c r="B11" s="89" t="s">
        <v>257</v>
      </c>
    </row>
    <row r="12" spans="1:11" x14ac:dyDescent="0.3">
      <c r="B12" s="3" t="s">
        <v>259</v>
      </c>
    </row>
    <row r="13" spans="1:11" ht="15" x14ac:dyDescent="0.25">
      <c r="B13" s="3"/>
    </row>
    <row r="14" spans="1:11" x14ac:dyDescent="0.3">
      <c r="A14" s="21"/>
      <c r="B14" s="131" t="s">
        <v>474</v>
      </c>
      <c r="C14" s="21"/>
      <c r="D14" s="21"/>
      <c r="E14" s="21"/>
      <c r="F14" s="21"/>
      <c r="G14" s="21"/>
      <c r="H14" s="21"/>
    </row>
    <row r="15" spans="1:11" ht="15" x14ac:dyDescent="0.25">
      <c r="B15" s="58"/>
    </row>
    <row r="16" spans="1:11" ht="30" customHeight="1" x14ac:dyDescent="0.3">
      <c r="A16" s="24"/>
      <c r="B16" s="128" t="s">
        <v>124</v>
      </c>
      <c r="C16" s="129">
        <f>Lyhyt_av_neutraali!C16</f>
        <v>15</v>
      </c>
      <c r="D16" s="129">
        <f>Lyhyt_av_neutraali!D16</f>
        <v>100</v>
      </c>
      <c r="E16" s="129">
        <f>Lyhyt_av_neutraali!E16</f>
        <v>1000</v>
      </c>
      <c r="F16" s="129">
        <f>Lyhyt_av_neutraali!F16</f>
        <v>2000</v>
      </c>
      <c r="G16" s="129">
        <f>Lyhyt_av_neutraali!G16</f>
        <v>5000</v>
      </c>
      <c r="H16" s="129">
        <f>Lyhyt_av_neutraali!H16</f>
        <v>8000</v>
      </c>
      <c r="J16" s="8" t="s">
        <v>407</v>
      </c>
      <c r="K16" s="8"/>
    </row>
    <row r="17" spans="1:10" ht="15" customHeight="1" x14ac:dyDescent="0.3">
      <c r="A17" s="204" t="s">
        <v>125</v>
      </c>
      <c r="B17" t="s">
        <v>145</v>
      </c>
      <c r="C17" s="24">
        <v>6.75</v>
      </c>
      <c r="D17" s="24">
        <v>6.75</v>
      </c>
      <c r="E17" s="24">
        <v>9</v>
      </c>
      <c r="F17" s="24">
        <v>9</v>
      </c>
      <c r="G17" s="24">
        <v>11</v>
      </c>
      <c r="H17" s="24">
        <v>11</v>
      </c>
    </row>
    <row r="18" spans="1:10" x14ac:dyDescent="0.3">
      <c r="A18" s="204"/>
      <c r="B18" t="s">
        <v>146</v>
      </c>
      <c r="C18" s="24">
        <v>1.9</v>
      </c>
      <c r="D18" s="24">
        <v>3.1</v>
      </c>
      <c r="E18" s="24">
        <v>4</v>
      </c>
      <c r="F18" s="24">
        <v>5.3</v>
      </c>
      <c r="G18" s="24">
        <v>5.9</v>
      </c>
      <c r="H18" s="24">
        <v>6.1</v>
      </c>
    </row>
    <row r="19" spans="1:10" x14ac:dyDescent="0.3">
      <c r="A19" s="204"/>
      <c r="B19" t="s">
        <v>147</v>
      </c>
      <c r="C19" s="24">
        <v>1.05</v>
      </c>
      <c r="D19" s="24">
        <v>0.94</v>
      </c>
      <c r="E19" s="24">
        <v>0.83</v>
      </c>
      <c r="F19" s="24">
        <v>0.71</v>
      </c>
      <c r="G19" s="24">
        <v>0.54</v>
      </c>
      <c r="H19" s="24">
        <v>0.5</v>
      </c>
      <c r="J19" t="s">
        <v>131</v>
      </c>
    </row>
    <row r="20" spans="1:10" x14ac:dyDescent="0.3">
      <c r="A20" s="101"/>
      <c r="B20" t="s">
        <v>148</v>
      </c>
      <c r="C20" s="29">
        <f>(5*18+2*0)/7</f>
        <v>12.857142857142858</v>
      </c>
      <c r="D20" s="24">
        <f>(18*7)/7</f>
        <v>18</v>
      </c>
      <c r="E20" s="24">
        <v>20</v>
      </c>
      <c r="F20" s="24">
        <v>20</v>
      </c>
      <c r="G20" s="24">
        <v>20</v>
      </c>
      <c r="H20" s="24">
        <v>20</v>
      </c>
      <c r="J20" t="s">
        <v>134</v>
      </c>
    </row>
    <row r="21" spans="1:10" x14ac:dyDescent="0.3">
      <c r="A21" s="27"/>
      <c r="B21" s="28" t="s">
        <v>149</v>
      </c>
      <c r="C21" s="30">
        <f>C16*C20*365</f>
        <v>70392.857142857145</v>
      </c>
      <c r="D21" s="30">
        <f t="shared" ref="D21:G21" si="0">D16*D20*365</f>
        <v>657000</v>
      </c>
      <c r="E21" s="30">
        <f t="shared" si="0"/>
        <v>7300000</v>
      </c>
      <c r="F21" s="30">
        <f t="shared" si="0"/>
        <v>14600000</v>
      </c>
      <c r="G21" s="30">
        <f t="shared" si="0"/>
        <v>36500000</v>
      </c>
      <c r="H21" s="30">
        <f>H16*H20*365</f>
        <v>58400000</v>
      </c>
    </row>
    <row r="22" spans="1:10" x14ac:dyDescent="0.3">
      <c r="B22" s="28" t="s">
        <v>132</v>
      </c>
      <c r="C22" s="30">
        <f>C21*C18</f>
        <v>133746.42857142858</v>
      </c>
      <c r="D22" s="30">
        <f t="shared" ref="D22:G22" si="1">D21*D18</f>
        <v>2036700</v>
      </c>
      <c r="E22" s="30">
        <f t="shared" si="1"/>
        <v>29200000</v>
      </c>
      <c r="F22" s="30">
        <f t="shared" si="1"/>
        <v>77380000</v>
      </c>
      <c r="G22" s="30">
        <f t="shared" si="1"/>
        <v>215350000</v>
      </c>
      <c r="H22" s="30">
        <f>H21*H18</f>
        <v>356240000</v>
      </c>
    </row>
    <row r="23" spans="1:10" x14ac:dyDescent="0.3">
      <c r="A23" s="33" t="s">
        <v>136</v>
      </c>
      <c r="B23" s="31" t="s">
        <v>135</v>
      </c>
      <c r="C23" s="32">
        <f>C22/365</f>
        <v>366.42857142857144</v>
      </c>
      <c r="D23" s="32">
        <f t="shared" ref="D23:G23" si="2">D22/365</f>
        <v>5580</v>
      </c>
      <c r="E23" s="32">
        <f t="shared" si="2"/>
        <v>80000</v>
      </c>
      <c r="F23" s="32">
        <f t="shared" si="2"/>
        <v>212000</v>
      </c>
      <c r="G23" s="32">
        <f t="shared" si="2"/>
        <v>590000</v>
      </c>
      <c r="H23" s="32">
        <f>H22/365</f>
        <v>976000</v>
      </c>
    </row>
    <row r="24" spans="1:10" x14ac:dyDescent="0.3">
      <c r="A24" s="33" t="s">
        <v>136</v>
      </c>
      <c r="B24" s="31" t="s">
        <v>139</v>
      </c>
      <c r="C24" s="32">
        <f>C22/12</f>
        <v>11145.535714285716</v>
      </c>
      <c r="D24" s="32">
        <f t="shared" ref="D24:G24" si="3">D22/12</f>
        <v>169725</v>
      </c>
      <c r="E24" s="32">
        <f t="shared" si="3"/>
        <v>2433333.3333333335</v>
      </c>
      <c r="F24" s="32">
        <f t="shared" si="3"/>
        <v>6448333.333333333</v>
      </c>
      <c r="G24" s="32">
        <f t="shared" si="3"/>
        <v>17945833.333333332</v>
      </c>
      <c r="H24" s="32">
        <f>H22/12</f>
        <v>29686666.666666668</v>
      </c>
    </row>
    <row r="25" spans="1:10" x14ac:dyDescent="0.3">
      <c r="A25" s="33"/>
      <c r="B25" s="34" t="s">
        <v>138</v>
      </c>
      <c r="C25" s="30">
        <f t="shared" ref="C25:G25" si="4">C22*C17</f>
        <v>902788.39285714296</v>
      </c>
      <c r="D25" s="30">
        <f t="shared" si="4"/>
        <v>13747725</v>
      </c>
      <c r="E25" s="30">
        <f t="shared" si="4"/>
        <v>262800000</v>
      </c>
      <c r="F25" s="30">
        <f t="shared" si="4"/>
        <v>696420000</v>
      </c>
      <c r="G25" s="30">
        <f t="shared" si="4"/>
        <v>2368850000</v>
      </c>
      <c r="H25" s="30">
        <f>H22*H17</f>
        <v>3918640000</v>
      </c>
    </row>
    <row r="26" spans="1:10" x14ac:dyDescent="0.3">
      <c r="B26" t="s">
        <v>133</v>
      </c>
      <c r="C26" s="30">
        <f>C25*C19</f>
        <v>947927.81250000012</v>
      </c>
      <c r="D26" s="30">
        <f t="shared" ref="D26:G26" si="5">D25*D19</f>
        <v>12922861.5</v>
      </c>
      <c r="E26" s="30">
        <f t="shared" si="5"/>
        <v>218124000</v>
      </c>
      <c r="F26" s="30">
        <f t="shared" si="5"/>
        <v>494458200</v>
      </c>
      <c r="G26" s="30">
        <f t="shared" si="5"/>
        <v>1279179000</v>
      </c>
      <c r="H26" s="30">
        <f>H25*H19</f>
        <v>1959320000</v>
      </c>
    </row>
    <row r="27" spans="1:10" x14ac:dyDescent="0.3">
      <c r="A27" s="33" t="s">
        <v>136</v>
      </c>
      <c r="B27" s="9" t="s">
        <v>137</v>
      </c>
      <c r="C27" s="32">
        <f t="shared" ref="C27:G27" si="6">C26/365</f>
        <v>2597.0625000000005</v>
      </c>
      <c r="D27" s="32">
        <f t="shared" si="6"/>
        <v>35405.1</v>
      </c>
      <c r="E27" s="32">
        <f t="shared" si="6"/>
        <v>597600</v>
      </c>
      <c r="F27" s="32">
        <f t="shared" si="6"/>
        <v>1354680</v>
      </c>
      <c r="G27" s="32">
        <f t="shared" si="6"/>
        <v>3504600</v>
      </c>
      <c r="H27" s="32">
        <f>H26/365</f>
        <v>5368000</v>
      </c>
      <c r="J27" t="s">
        <v>140</v>
      </c>
    </row>
    <row r="28" spans="1:10" x14ac:dyDescent="0.3">
      <c r="A28" s="33" t="s">
        <v>136</v>
      </c>
      <c r="B28" s="9" t="s">
        <v>158</v>
      </c>
      <c r="C28" s="32">
        <f>C26/C21</f>
        <v>13.46625</v>
      </c>
      <c r="D28" s="32">
        <f t="shared" ref="D28:G28" si="7">D26/D21</f>
        <v>19.669499999999999</v>
      </c>
      <c r="E28" s="32">
        <f t="shared" si="7"/>
        <v>29.88</v>
      </c>
      <c r="F28" s="32">
        <f t="shared" si="7"/>
        <v>33.866999999999997</v>
      </c>
      <c r="G28" s="32">
        <f t="shared" si="7"/>
        <v>35.045999999999999</v>
      </c>
      <c r="H28" s="32">
        <f>H26/H21</f>
        <v>33.549999999999997</v>
      </c>
    </row>
    <row r="29" spans="1:10" x14ac:dyDescent="0.3">
      <c r="A29" s="33" t="s">
        <v>136</v>
      </c>
      <c r="B29" s="9" t="s">
        <v>255</v>
      </c>
      <c r="C29" s="32">
        <f>(3.5+0.45*C17)*0.8*C22</f>
        <v>699493.82142857148</v>
      </c>
      <c r="D29" s="32">
        <f t="shared" ref="D29:H29" si="8">(3.5+0.45*D17)*0.8*D22</f>
        <v>10651941</v>
      </c>
      <c r="E29" s="32">
        <f t="shared" si="8"/>
        <v>176368000</v>
      </c>
      <c r="F29" s="32">
        <f t="shared" si="8"/>
        <v>467375200</v>
      </c>
      <c r="G29" s="32">
        <f t="shared" si="8"/>
        <v>1455766000</v>
      </c>
      <c r="H29" s="32">
        <f t="shared" si="8"/>
        <v>2408182400</v>
      </c>
      <c r="J29" t="s">
        <v>258</v>
      </c>
    </row>
    <row r="30" spans="1:10" x14ac:dyDescent="0.3">
      <c r="A30" s="33"/>
      <c r="B30" s="9"/>
      <c r="C30" s="32"/>
      <c r="D30" s="32"/>
      <c r="E30" s="32"/>
      <c r="F30" s="32"/>
      <c r="G30" s="32"/>
      <c r="H30" s="32"/>
    </row>
    <row r="31" spans="1:10" x14ac:dyDescent="0.3">
      <c r="A31" s="33"/>
      <c r="B31" s="80" t="s">
        <v>251</v>
      </c>
      <c r="C31" s="32"/>
      <c r="D31" s="32"/>
      <c r="E31" s="32"/>
      <c r="F31" s="32"/>
      <c r="G31" s="32"/>
      <c r="H31" s="32"/>
    </row>
    <row r="32" spans="1:10" x14ac:dyDescent="0.3">
      <c r="A32" s="33"/>
      <c r="B32" s="79" t="s">
        <v>600</v>
      </c>
      <c r="C32" s="32"/>
      <c r="D32" s="32"/>
      <c r="E32" s="32"/>
      <c r="F32" s="32"/>
      <c r="G32" s="32"/>
      <c r="H32" s="32"/>
    </row>
    <row r="33" spans="1:11" x14ac:dyDescent="0.3">
      <c r="A33" s="33"/>
      <c r="B33" s="79" t="s">
        <v>602</v>
      </c>
      <c r="C33" s="32"/>
      <c r="D33" s="32"/>
      <c r="E33" s="32"/>
      <c r="F33" s="32"/>
      <c r="G33" s="32"/>
      <c r="H33" s="32"/>
    </row>
    <row r="34" spans="1:11" x14ac:dyDescent="0.3">
      <c r="A34" s="33"/>
      <c r="B34" s="79" t="s">
        <v>601</v>
      </c>
      <c r="C34" s="32"/>
      <c r="D34" s="32"/>
      <c r="E34" s="32"/>
      <c r="F34" s="32"/>
      <c r="G34" s="32"/>
      <c r="H34" s="32"/>
    </row>
    <row r="35" spans="1:11" x14ac:dyDescent="0.3">
      <c r="A35" s="33"/>
      <c r="B35" s="79" t="s">
        <v>603</v>
      </c>
      <c r="C35" s="32"/>
      <c r="D35" s="32"/>
      <c r="E35" s="32"/>
      <c r="F35" s="32"/>
      <c r="G35" s="32"/>
      <c r="H35" s="32"/>
    </row>
    <row r="36" spans="1:11" x14ac:dyDescent="0.3">
      <c r="A36" s="33"/>
      <c r="B36" s="79" t="s">
        <v>604</v>
      </c>
      <c r="C36" s="32"/>
      <c r="D36" s="32"/>
      <c r="E36" s="32"/>
      <c r="F36" s="32"/>
      <c r="G36" s="32"/>
      <c r="H36" s="32"/>
    </row>
    <row r="37" spans="1:11" x14ac:dyDescent="0.3">
      <c r="A37" s="33"/>
      <c r="B37" s="79" t="s">
        <v>605</v>
      </c>
      <c r="C37" s="32"/>
      <c r="D37" s="32"/>
      <c r="E37" s="32"/>
      <c r="F37" s="32"/>
      <c r="G37" s="32"/>
      <c r="H37" s="32"/>
    </row>
    <row r="38" spans="1:11" x14ac:dyDescent="0.3">
      <c r="A38" s="33"/>
      <c r="B38" s="79" t="s">
        <v>606</v>
      </c>
      <c r="C38" s="32"/>
      <c r="D38" s="32"/>
      <c r="E38" s="32"/>
      <c r="F38" s="32"/>
      <c r="G38" s="32"/>
      <c r="H38" s="32"/>
    </row>
    <row r="39" spans="1:11" ht="15" customHeight="1" x14ac:dyDescent="0.3">
      <c r="A39" s="205" t="s">
        <v>126</v>
      </c>
      <c r="B39" s="28" t="s">
        <v>127</v>
      </c>
      <c r="C39" s="134">
        <v>0.15</v>
      </c>
      <c r="D39" s="88">
        <v>0.17</v>
      </c>
      <c r="E39" s="88">
        <f>Lyhyt_av_neutraali!E39-0.1</f>
        <v>0.4</v>
      </c>
      <c r="F39" s="88">
        <f>Lyhyt_av_neutraali!F39-0.1</f>
        <v>0.5</v>
      </c>
      <c r="G39" s="88">
        <f>Lyhyt_av_neutraali!G39-0.1</f>
        <v>0.6</v>
      </c>
      <c r="H39" s="88">
        <f>Lyhyt_av_neutraali!H39-0.1</f>
        <v>0.6</v>
      </c>
    </row>
    <row r="40" spans="1:11" x14ac:dyDescent="0.3">
      <c r="A40" s="205"/>
      <c r="B40" s="28" t="s">
        <v>128</v>
      </c>
      <c r="C40" s="134">
        <v>0.03</v>
      </c>
      <c r="D40" s="88">
        <v>0.03</v>
      </c>
      <c r="E40" s="88">
        <v>0.03</v>
      </c>
      <c r="F40" s="88">
        <v>0.03</v>
      </c>
      <c r="G40" s="88">
        <v>0.05</v>
      </c>
      <c r="H40" s="88">
        <v>0.05</v>
      </c>
      <c r="J40" t="s">
        <v>141</v>
      </c>
    </row>
    <row r="41" spans="1:11" x14ac:dyDescent="0.3">
      <c r="A41" s="205"/>
      <c r="B41" s="28" t="s">
        <v>143</v>
      </c>
      <c r="C41" s="134">
        <v>0.1</v>
      </c>
      <c r="D41" s="88">
        <v>0.1</v>
      </c>
      <c r="E41" s="126">
        <v>0.06</v>
      </c>
      <c r="F41" s="126">
        <v>0.04</v>
      </c>
      <c r="G41" s="126">
        <v>0.02</v>
      </c>
      <c r="H41" s="126">
        <v>0.02</v>
      </c>
      <c r="J41" s="49" t="s">
        <v>465</v>
      </c>
    </row>
    <row r="42" spans="1:11" x14ac:dyDescent="0.3">
      <c r="A42" s="205"/>
      <c r="B42" s="28" t="s">
        <v>129</v>
      </c>
      <c r="C42" s="134">
        <v>0.65</v>
      </c>
      <c r="D42" s="88">
        <v>0.64</v>
      </c>
      <c r="E42" s="88">
        <f>Lyhyt_av_neutraali!E42+0.1</f>
        <v>0.44999999999999996</v>
      </c>
      <c r="F42" s="88">
        <v>0.33</v>
      </c>
      <c r="G42" s="88">
        <v>0.23</v>
      </c>
      <c r="H42" s="88">
        <v>0.2</v>
      </c>
      <c r="J42" s="49" t="s">
        <v>248</v>
      </c>
      <c r="K42" s="49"/>
    </row>
    <row r="43" spans="1:11" x14ac:dyDescent="0.3">
      <c r="A43" s="205"/>
      <c r="B43" s="28" t="s">
        <v>130</v>
      </c>
      <c r="C43" s="134">
        <f>100 %-SUM(C39:C42)</f>
        <v>6.9999999999999951E-2</v>
      </c>
      <c r="D43" s="88">
        <f t="shared" ref="D43:H43" si="9">100 %-SUM(D39:D42)</f>
        <v>5.9999999999999942E-2</v>
      </c>
      <c r="E43" s="88">
        <f t="shared" si="9"/>
        <v>6.0000000000000053E-2</v>
      </c>
      <c r="F43" s="88">
        <f t="shared" si="9"/>
        <v>9.9999999999999867E-2</v>
      </c>
      <c r="G43" s="88">
        <f t="shared" si="9"/>
        <v>9.9999999999999978E-2</v>
      </c>
      <c r="H43" s="88">
        <f t="shared" si="9"/>
        <v>0.12999999999999989</v>
      </c>
      <c r="J43" s="49"/>
      <c r="K43" s="49"/>
    </row>
    <row r="44" spans="1:11" x14ac:dyDescent="0.3">
      <c r="B44" s="100" t="s">
        <v>282</v>
      </c>
      <c r="J44" s="49" t="s">
        <v>283</v>
      </c>
      <c r="K44" s="49"/>
    </row>
    <row r="45" spans="1:11" x14ac:dyDescent="0.3">
      <c r="A45" s="9" t="s">
        <v>271</v>
      </c>
      <c r="B45" s="31" t="s">
        <v>277</v>
      </c>
      <c r="C45" s="78">
        <f>C39*C$23</f>
        <v>54.964285714285715</v>
      </c>
      <c r="D45" s="78">
        <f t="shared" ref="D45:H46" si="10">D39*D$23</f>
        <v>948.6</v>
      </c>
      <c r="E45" s="78">
        <f t="shared" si="10"/>
        <v>32000</v>
      </c>
      <c r="F45" s="78">
        <f t="shared" si="10"/>
        <v>106000</v>
      </c>
      <c r="G45" s="78">
        <f t="shared" si="10"/>
        <v>354000</v>
      </c>
      <c r="H45" s="78">
        <f t="shared" si="10"/>
        <v>585600</v>
      </c>
      <c r="J45" s="83">
        <v>1000000</v>
      </c>
      <c r="K45" s="49" t="s">
        <v>284</v>
      </c>
    </row>
    <row r="46" spans="1:11" x14ac:dyDescent="0.3">
      <c r="A46" s="9" t="s">
        <v>272</v>
      </c>
      <c r="B46" s="31" t="s">
        <v>278</v>
      </c>
      <c r="C46" s="78">
        <f>C40*C$23</f>
        <v>10.992857142857144</v>
      </c>
      <c r="D46" s="78">
        <f t="shared" si="10"/>
        <v>167.4</v>
      </c>
      <c r="E46" s="78">
        <f t="shared" si="10"/>
        <v>2400</v>
      </c>
      <c r="F46" s="78">
        <f t="shared" si="10"/>
        <v>6360</v>
      </c>
      <c r="G46" s="78">
        <f t="shared" si="10"/>
        <v>29500</v>
      </c>
      <c r="H46" s="78">
        <f t="shared" si="10"/>
        <v>48800</v>
      </c>
      <c r="J46" s="83">
        <v>250000</v>
      </c>
      <c r="K46" s="49" t="s">
        <v>285</v>
      </c>
    </row>
    <row r="47" spans="1:11" x14ac:dyDescent="0.3">
      <c r="A47" s="9" t="s">
        <v>273</v>
      </c>
      <c r="B47" s="31" t="s">
        <v>279</v>
      </c>
      <c r="C47" s="78">
        <f t="shared" ref="C47:H49" si="11">C41*C$23</f>
        <v>36.642857142857146</v>
      </c>
      <c r="D47" s="78">
        <f t="shared" si="11"/>
        <v>558</v>
      </c>
      <c r="E47" s="78">
        <f t="shared" si="11"/>
        <v>4800</v>
      </c>
      <c r="F47" s="78">
        <f t="shared" si="11"/>
        <v>8480</v>
      </c>
      <c r="G47" s="78">
        <f t="shared" si="11"/>
        <v>11800</v>
      </c>
      <c r="H47" s="78">
        <f t="shared" si="11"/>
        <v>19520</v>
      </c>
      <c r="J47" s="83"/>
      <c r="K47" s="49"/>
    </row>
    <row r="48" spans="1:11" x14ac:dyDescent="0.3">
      <c r="A48" s="9"/>
      <c r="B48" s="31" t="s">
        <v>280</v>
      </c>
      <c r="C48" s="78">
        <f t="shared" si="11"/>
        <v>238.17857142857144</v>
      </c>
      <c r="D48" s="78">
        <f t="shared" si="11"/>
        <v>3571.2000000000003</v>
      </c>
      <c r="E48" s="78">
        <f t="shared" si="11"/>
        <v>36000</v>
      </c>
      <c r="F48" s="78">
        <f t="shared" si="11"/>
        <v>69960</v>
      </c>
      <c r="G48" s="78">
        <f t="shared" si="11"/>
        <v>135700</v>
      </c>
      <c r="H48" s="78">
        <f t="shared" si="11"/>
        <v>195200</v>
      </c>
      <c r="J48" s="83">
        <v>890000</v>
      </c>
      <c r="K48" s="49" t="s">
        <v>286</v>
      </c>
    </row>
    <row r="49" spans="1:11" x14ac:dyDescent="0.3">
      <c r="A49" s="9"/>
      <c r="B49" s="31" t="s">
        <v>281</v>
      </c>
      <c r="C49" s="78">
        <f>C43*C$23</f>
        <v>25.649999999999984</v>
      </c>
      <c r="D49" s="78">
        <f t="shared" si="11"/>
        <v>334.79999999999967</v>
      </c>
      <c r="E49" s="78">
        <f t="shared" si="11"/>
        <v>4800.0000000000045</v>
      </c>
      <c r="F49" s="78">
        <f t="shared" si="11"/>
        <v>21199.999999999971</v>
      </c>
      <c r="G49" s="78">
        <f t="shared" si="11"/>
        <v>58999.999999999985</v>
      </c>
      <c r="H49" s="78">
        <f>H43*H$23</f>
        <v>126879.9999999999</v>
      </c>
      <c r="J49" s="83">
        <v>1080000</v>
      </c>
      <c r="K49" s="49" t="s">
        <v>287</v>
      </c>
    </row>
    <row r="50" spans="1:11" x14ac:dyDescent="0.3">
      <c r="B50" s="28"/>
    </row>
    <row r="51" spans="1:11" x14ac:dyDescent="0.3">
      <c r="B51" t="s">
        <v>177</v>
      </c>
      <c r="C51" s="30">
        <f>-C17*C22*C39</f>
        <v>-135418.25892857145</v>
      </c>
      <c r="D51" s="30">
        <f t="shared" ref="D51:H51" si="12">-D17*D22*D39</f>
        <v>-2337113.25</v>
      </c>
      <c r="E51" s="30">
        <f t="shared" si="12"/>
        <v>-105120000</v>
      </c>
      <c r="F51" s="30">
        <f t="shared" si="12"/>
        <v>-348210000</v>
      </c>
      <c r="G51" s="30">
        <f>-G17*G22*G39</f>
        <v>-1421310000</v>
      </c>
      <c r="H51" s="30">
        <f t="shared" si="12"/>
        <v>-2351184000</v>
      </c>
      <c r="I51" s="30"/>
    </row>
    <row r="52" spans="1:11" x14ac:dyDescent="0.3">
      <c r="A52" s="24"/>
      <c r="B52" t="s">
        <v>144</v>
      </c>
      <c r="C52" s="36">
        <v>1.5</v>
      </c>
      <c r="D52" s="36">
        <v>1.5</v>
      </c>
      <c r="E52" s="36">
        <v>1.5</v>
      </c>
      <c r="F52" s="36">
        <v>1.5</v>
      </c>
      <c r="G52" s="36">
        <v>1.5</v>
      </c>
      <c r="H52" s="36">
        <v>1.5</v>
      </c>
      <c r="J52" t="s">
        <v>167</v>
      </c>
    </row>
    <row r="53" spans="1:11" x14ac:dyDescent="0.3">
      <c r="B53" t="s">
        <v>178</v>
      </c>
      <c r="C53" s="30">
        <f t="shared" ref="C53:H53" si="13">-C17*C22*C41*C52</f>
        <v>-135418.25892857145</v>
      </c>
      <c r="D53" s="30">
        <f t="shared" si="13"/>
        <v>-2062158.75</v>
      </c>
      <c r="E53" s="30">
        <f t="shared" si="13"/>
        <v>-23652000</v>
      </c>
      <c r="F53" s="30">
        <f t="shared" si="13"/>
        <v>-41785200</v>
      </c>
      <c r="G53" s="30">
        <f t="shared" si="13"/>
        <v>-71065500</v>
      </c>
      <c r="H53" s="30">
        <f t="shared" si="13"/>
        <v>-117559200</v>
      </c>
    </row>
    <row r="54" spans="1:11" x14ac:dyDescent="0.3">
      <c r="C54" s="30"/>
      <c r="D54" s="30"/>
      <c r="E54" s="30"/>
      <c r="F54" s="30"/>
      <c r="G54" s="30"/>
      <c r="H54" s="30"/>
    </row>
    <row r="55" spans="1:11" x14ac:dyDescent="0.3">
      <c r="B55" s="80" t="s">
        <v>385</v>
      </c>
      <c r="C55" s="30"/>
      <c r="D55" s="30"/>
      <c r="E55" s="30"/>
      <c r="F55" s="30"/>
      <c r="G55" s="30"/>
      <c r="H55" s="30"/>
    </row>
    <row r="56" spans="1:11" x14ac:dyDescent="0.3">
      <c r="B56" s="22" t="s">
        <v>329</v>
      </c>
      <c r="C56" s="30"/>
      <c r="D56" s="30"/>
      <c r="E56" s="30"/>
      <c r="F56" s="30"/>
      <c r="G56" s="30"/>
      <c r="H56" s="30"/>
    </row>
    <row r="57" spans="1:11" ht="28.8" x14ac:dyDescent="0.3">
      <c r="A57" s="89"/>
      <c r="B57" s="103" t="s">
        <v>156</v>
      </c>
      <c r="C57" s="102">
        <v>0</v>
      </c>
      <c r="D57" s="102">
        <v>0.1</v>
      </c>
      <c r="E57" s="102">
        <v>0.3</v>
      </c>
      <c r="F57" s="102">
        <v>0.3</v>
      </c>
      <c r="G57" s="102">
        <v>0.2</v>
      </c>
      <c r="H57" s="102">
        <v>0.2</v>
      </c>
      <c r="I57" s="37"/>
      <c r="J57" s="49" t="s">
        <v>288</v>
      </c>
      <c r="K57" s="37"/>
    </row>
    <row r="58" spans="1:11" x14ac:dyDescent="0.3">
      <c r="B58" t="s">
        <v>289</v>
      </c>
      <c r="C58" s="30">
        <f>-C57*C51</f>
        <v>0</v>
      </c>
      <c r="D58" s="30">
        <f>-D57*D51</f>
        <v>233711.32500000001</v>
      </c>
      <c r="E58" s="30">
        <f t="shared" ref="E58:F58" si="14">-E57*E51</f>
        <v>31536000</v>
      </c>
      <c r="F58" s="30">
        <f t="shared" si="14"/>
        <v>104463000</v>
      </c>
      <c r="G58" s="30">
        <f>-G57*G51</f>
        <v>284262000</v>
      </c>
      <c r="H58" s="30">
        <f>-H57*H51</f>
        <v>470236800</v>
      </c>
      <c r="J58" t="s">
        <v>408</v>
      </c>
    </row>
    <row r="60" spans="1:11" x14ac:dyDescent="0.3">
      <c r="B60" s="116" t="s">
        <v>176</v>
      </c>
      <c r="C60" s="117">
        <f t="shared" ref="C60:H60" si="15">C26+C51+C53+C58</f>
        <v>677091.29464285716</v>
      </c>
      <c r="D60" s="117">
        <f t="shared" si="15"/>
        <v>8757300.8249999993</v>
      </c>
      <c r="E60" s="117">
        <f t="shared" si="15"/>
        <v>120888000</v>
      </c>
      <c r="F60" s="117">
        <f t="shared" si="15"/>
        <v>208926000</v>
      </c>
      <c r="G60" s="117">
        <f t="shared" si="15"/>
        <v>71065500</v>
      </c>
      <c r="H60" s="117">
        <f t="shared" si="15"/>
        <v>-39186400</v>
      </c>
      <c r="J60" t="s">
        <v>157</v>
      </c>
    </row>
    <row r="62" spans="1:11" x14ac:dyDescent="0.3">
      <c r="A62" s="21"/>
      <c r="B62" s="131" t="s">
        <v>475</v>
      </c>
      <c r="C62" s="21"/>
      <c r="D62" s="21"/>
      <c r="E62" s="21"/>
      <c r="F62" s="21"/>
      <c r="G62" s="21"/>
      <c r="H62" s="21"/>
    </row>
    <row r="64" spans="1:11" x14ac:dyDescent="0.3">
      <c r="B64" s="58" t="s">
        <v>63</v>
      </c>
    </row>
    <row r="65" spans="2:8" x14ac:dyDescent="0.3">
      <c r="B65" s="3" t="s">
        <v>528</v>
      </c>
      <c r="C65" s="15">
        <f>(C51+C58)*Lähtöarvot!$B$102</f>
        <v>-9162.9952394464308</v>
      </c>
      <c r="D65" s="15">
        <f>(D51+D58)*Lähtöarvot!$B$102</f>
        <v>-142325.42921397</v>
      </c>
      <c r="E65" s="15">
        <f>(E51+E58)*Lähtöarvot!$B$102</f>
        <v>-4979017.2095999997</v>
      </c>
      <c r="F65" s="15">
        <f>(F51+F58)*Lähtöarvot!$B$102</f>
        <v>-16492994.5068</v>
      </c>
      <c r="G65" s="15">
        <f>(G51+G58)*Lähtöarvot!$B$102</f>
        <v>-76937670.691200003</v>
      </c>
      <c r="H65" s="15">
        <f>(H51+H58)*Lähtöarvot!$B$102</f>
        <v>-127273163.71968</v>
      </c>
    </row>
    <row r="66" spans="2:8" x14ac:dyDescent="0.3">
      <c r="B66" s="3" t="s">
        <v>529</v>
      </c>
      <c r="C66" s="15">
        <f>C53*Lähtöarvot!$B$104</f>
        <v>-5131.2773340900003</v>
      </c>
      <c r="D66" s="15">
        <f>D53*Lähtöarvot!$B$104</f>
        <v>-78139.451333159988</v>
      </c>
      <c r="E66" s="15">
        <f>E53*Lähtöarvot!$B$104</f>
        <v>-896223.09772799991</v>
      </c>
      <c r="F66" s="15">
        <f>F53*Lähtöarvot!$B$104</f>
        <v>-1583327.4726527999</v>
      </c>
      <c r="G66" s="15">
        <f>G53*Lähtöarvot!$B$104</f>
        <v>-2692818.4741919995</v>
      </c>
      <c r="H66" s="15">
        <f>H53*Lähtöarvot!$B$104</f>
        <v>-4454560.7301887991</v>
      </c>
    </row>
    <row r="67" spans="2:8" x14ac:dyDescent="0.3">
      <c r="B67" s="3" t="s">
        <v>530</v>
      </c>
      <c r="C67" s="15">
        <f>C26*Lähtöarvot!$B$104</f>
        <v>35918.94133863</v>
      </c>
      <c r="D67" s="15">
        <f>D26*Lähtöarvot!$B$104</f>
        <v>489673.89502113598</v>
      </c>
      <c r="E67" s="15">
        <f>E26*Lähtöarvot!$B$104</f>
        <v>8265168.5679359995</v>
      </c>
      <c r="F67" s="15">
        <f>F26*Lähtöarvot!$B$104</f>
        <v>18736041.7597248</v>
      </c>
      <c r="G67" s="15">
        <f>G26*Lähtöarvot!$B$104</f>
        <v>48470732.535455994</v>
      </c>
      <c r="H67" s="15">
        <f>H26*Lähtöarvot!$B$104</f>
        <v>74242678.836479992</v>
      </c>
    </row>
    <row r="68" spans="2:8" x14ac:dyDescent="0.3">
      <c r="B68" s="3" t="s">
        <v>492</v>
      </c>
      <c r="C68" s="15">
        <f>-C22*C39*Lähtöarvot!$C$69</f>
        <v>-161.0957275135714</v>
      </c>
      <c r="D68" s="15">
        <f>-D22*D39*Lähtöarvot!$C$69</f>
        <v>-2780.2673160119998</v>
      </c>
      <c r="E68" s="15">
        <f>-E22*E39*Lähtöarvot!$C$69</f>
        <v>-93789.325439999986</v>
      </c>
      <c r="F68" s="15">
        <f>-F22*F39*Lähtöarvot!$C$69</f>
        <v>-310677.14051999996</v>
      </c>
      <c r="G68" s="15">
        <f>-G22*G39*Lähtöarvot!$C$69</f>
        <v>-1037544.4126799998</v>
      </c>
      <c r="H68" s="15">
        <f>-H22*H39*Lähtöarvot!$C$69</f>
        <v>-1716344.6555519998</v>
      </c>
    </row>
    <row r="69" spans="2:8" x14ac:dyDescent="0.3">
      <c r="B69" s="3" t="s">
        <v>495</v>
      </c>
      <c r="C69" s="15">
        <f>SUM(C65:C68)</f>
        <v>21463.573037580001</v>
      </c>
      <c r="D69" s="15">
        <f t="shared" ref="D69:H69" si="16">SUM(D65:D68)</f>
        <v>266428.74715799402</v>
      </c>
      <c r="E69" s="15">
        <f t="shared" si="16"/>
        <v>2296138.9351679999</v>
      </c>
      <c r="F69" s="15">
        <f t="shared" si="16"/>
        <v>349042.63975199958</v>
      </c>
      <c r="G69" s="15">
        <f t="shared" si="16"/>
        <v>-32197301.042616002</v>
      </c>
      <c r="H69" s="15">
        <f t="shared" si="16"/>
        <v>-59201390.268940806</v>
      </c>
    </row>
    <row r="71" spans="2:8" x14ac:dyDescent="0.3">
      <c r="B71" s="58" t="s">
        <v>81</v>
      </c>
    </row>
    <row r="72" spans="2:8" x14ac:dyDescent="0.3">
      <c r="B72" t="s">
        <v>133</v>
      </c>
      <c r="C72" s="15">
        <f t="shared" ref="C72:H72" si="17">C26</f>
        <v>947927.81250000012</v>
      </c>
      <c r="D72" s="15">
        <f t="shared" si="17"/>
        <v>12922861.5</v>
      </c>
      <c r="E72" s="15">
        <f t="shared" si="17"/>
        <v>218124000</v>
      </c>
      <c r="F72" s="15">
        <f t="shared" si="17"/>
        <v>494458200</v>
      </c>
      <c r="G72" s="15">
        <f t="shared" si="17"/>
        <v>1279179000</v>
      </c>
      <c r="H72" s="15">
        <f t="shared" si="17"/>
        <v>1959320000</v>
      </c>
    </row>
    <row r="73" spans="2:8" x14ac:dyDescent="0.3">
      <c r="B73" t="s">
        <v>159</v>
      </c>
      <c r="C73" s="15">
        <f t="shared" ref="C73:H73" si="18">C51+C53+C58</f>
        <v>-270836.5178571429</v>
      </c>
      <c r="D73" s="15">
        <f t="shared" si="18"/>
        <v>-4165560.6749999998</v>
      </c>
      <c r="E73" s="15">
        <f t="shared" si="18"/>
        <v>-97236000</v>
      </c>
      <c r="F73" s="15">
        <f t="shared" si="18"/>
        <v>-285532200</v>
      </c>
      <c r="G73" s="15">
        <f t="shared" si="18"/>
        <v>-1208113500</v>
      </c>
      <c r="H73" s="15">
        <f t="shared" si="18"/>
        <v>-1998506400</v>
      </c>
    </row>
    <row r="74" spans="2:8" x14ac:dyDescent="0.3">
      <c r="B74" t="s">
        <v>171</v>
      </c>
      <c r="C74" s="15">
        <f>C72*Lähtöarvot!$M$130</f>
        <v>15576.43986814219</v>
      </c>
      <c r="D74" s="15">
        <f>D72*Lähtöarvot!$M$130</f>
        <v>212349.68783984252</v>
      </c>
      <c r="E74" s="15">
        <f>E72*Lähtöarvot!$M$130</f>
        <v>3584234.2897800002</v>
      </c>
      <c r="F74" s="15">
        <f>F72*Lähtöarvot!$M$130</f>
        <v>8124984.1159290001</v>
      </c>
      <c r="G74" s="15">
        <f>G72*Lähtöarvot!$M$130</f>
        <v>21019590.850005001</v>
      </c>
      <c r="H74" s="15">
        <f>H72*Lähtöarvot!$M$130</f>
        <v>32195732.375400003</v>
      </c>
    </row>
    <row r="75" spans="2:8" x14ac:dyDescent="0.3">
      <c r="B75" t="s">
        <v>172</v>
      </c>
      <c r="C75" s="15">
        <f>C73*Lähtöarvot!$M$119</f>
        <v>-2393.4418923375001</v>
      </c>
      <c r="D75" s="15">
        <f>D73*Lähtöarvot!$M$119</f>
        <v>-36811.976108323499</v>
      </c>
      <c r="E75" s="15">
        <f>E73*Lähtöarvot!$M$119</f>
        <v>-859295.92391999997</v>
      </c>
      <c r="F75" s="15">
        <f>F73*Lähtöarvot!$M$119</f>
        <v>-2523310.8684839997</v>
      </c>
      <c r="G75" s="15">
        <f>G73*Lähtöarvot!$M$119</f>
        <v>-10676364.784469999</v>
      </c>
      <c r="H75" s="15">
        <f>H73*Lähtöarvot!$M$119</f>
        <v>-17661240.728207998</v>
      </c>
    </row>
    <row r="76" spans="2:8" x14ac:dyDescent="0.3">
      <c r="B76" t="s">
        <v>170</v>
      </c>
      <c r="C76" s="15">
        <f>C74+C75</f>
        <v>13182.99797580469</v>
      </c>
      <c r="D76" s="15">
        <f t="shared" ref="D76:H76" si="19">D74+D75</f>
        <v>175537.71173151903</v>
      </c>
      <c r="E76" s="15">
        <f t="shared" si="19"/>
        <v>2724938.3658600003</v>
      </c>
      <c r="F76" s="15">
        <f t="shared" si="19"/>
        <v>5601673.2474450003</v>
      </c>
      <c r="G76" s="15">
        <f t="shared" si="19"/>
        <v>10343226.065535001</v>
      </c>
      <c r="H76" s="15">
        <f t="shared" si="19"/>
        <v>14534491.647192005</v>
      </c>
    </row>
    <row r="77" spans="2:8" x14ac:dyDescent="0.3">
      <c r="C77" s="15"/>
      <c r="D77" s="15"/>
      <c r="E77" s="15"/>
      <c r="F77" s="15"/>
      <c r="G77" s="15"/>
      <c r="H77" s="15"/>
    </row>
    <row r="78" spans="2:8" x14ac:dyDescent="0.3">
      <c r="B78" s="58" t="s">
        <v>98</v>
      </c>
      <c r="C78" s="15"/>
      <c r="D78" s="15"/>
      <c r="E78" s="15"/>
      <c r="F78" s="15"/>
      <c r="G78" s="15"/>
      <c r="H78" s="15"/>
    </row>
    <row r="79" spans="2:8" x14ac:dyDescent="0.3">
      <c r="B79" t="s">
        <v>175</v>
      </c>
      <c r="C79" s="15">
        <f>C60*Lähtöarvot!$E$124</f>
        <v>1421.8917187499999</v>
      </c>
      <c r="D79" s="15">
        <f>D60*Lähtöarvot!$E$124</f>
        <v>18390.331732499999</v>
      </c>
      <c r="E79" s="15">
        <f>E60*Lähtöarvot!$E$124</f>
        <v>253864.8</v>
      </c>
      <c r="F79" s="15">
        <f>F60*Lähtöarvot!$E$124</f>
        <v>438744.6</v>
      </c>
      <c r="G79" s="15">
        <f>G60*Lähtöarvot!$E$124</f>
        <v>149237.54999999999</v>
      </c>
      <c r="H79" s="15">
        <f>H60*Lähtöarvot!$E$124</f>
        <v>-82291.439999999988</v>
      </c>
    </row>
    <row r="81" spans="1:13" x14ac:dyDescent="0.3">
      <c r="B81" s="62" t="s">
        <v>179</v>
      </c>
    </row>
    <row r="82" spans="1:13" ht="15" customHeight="1" x14ac:dyDescent="0.3">
      <c r="B82" s="115" t="s">
        <v>247</v>
      </c>
      <c r="C82" s="6"/>
      <c r="D82" s="6"/>
      <c r="E82" s="6"/>
      <c r="F82" s="6"/>
      <c r="G82" s="6"/>
      <c r="H82" s="6"/>
      <c r="J82" t="s">
        <v>194</v>
      </c>
    </row>
    <row r="83" spans="1:13" ht="15" customHeight="1" x14ac:dyDescent="0.3">
      <c r="B83" s="115" t="s">
        <v>442</v>
      </c>
      <c r="C83" s="6"/>
      <c r="D83" s="6"/>
      <c r="E83" s="6"/>
      <c r="F83" s="6"/>
      <c r="G83" s="6"/>
      <c r="H83" s="6"/>
      <c r="J83" t="s">
        <v>195</v>
      </c>
    </row>
    <row r="84" spans="1:13" ht="15" customHeight="1" x14ac:dyDescent="0.3">
      <c r="B84" s="115" t="s">
        <v>443</v>
      </c>
      <c r="C84" s="6"/>
      <c r="D84" s="6"/>
      <c r="E84" s="6"/>
      <c r="F84" s="6"/>
      <c r="G84" s="6"/>
      <c r="H84" s="6"/>
      <c r="J84" t="s">
        <v>193</v>
      </c>
      <c r="M84" s="45">
        <f>420000/(1100000/1000)</f>
        <v>381.81818181818181</v>
      </c>
    </row>
    <row r="85" spans="1:13" x14ac:dyDescent="0.3">
      <c r="B85" s="85" t="s">
        <v>250</v>
      </c>
      <c r="C85" s="86"/>
      <c r="D85" s="86"/>
      <c r="E85" s="86"/>
      <c r="F85" s="86"/>
      <c r="G85" s="86"/>
      <c r="H85" s="86"/>
    </row>
    <row r="86" spans="1:13" x14ac:dyDescent="0.3">
      <c r="A86" s="89"/>
      <c r="B86" s="81" t="s">
        <v>230</v>
      </c>
      <c r="C86" s="91">
        <v>0.1</v>
      </c>
      <c r="D86" s="92">
        <v>1</v>
      </c>
      <c r="E86" s="92">
        <v>5</v>
      </c>
      <c r="F86" s="92">
        <v>10</v>
      </c>
      <c r="G86" s="92">
        <v>15</v>
      </c>
      <c r="H86" s="92">
        <v>20</v>
      </c>
    </row>
    <row r="87" spans="1:13" x14ac:dyDescent="0.3">
      <c r="B87" s="81" t="s">
        <v>231</v>
      </c>
      <c r="C87" s="81">
        <f t="shared" ref="C87:H87" si="20">C86*(1100000/1000)</f>
        <v>110</v>
      </c>
      <c r="D87" s="81">
        <f t="shared" si="20"/>
        <v>1100</v>
      </c>
      <c r="E87" s="81">
        <f t="shared" si="20"/>
        <v>5500</v>
      </c>
      <c r="F87" s="81">
        <f t="shared" si="20"/>
        <v>11000</v>
      </c>
      <c r="G87" s="81">
        <f t="shared" si="20"/>
        <v>16500</v>
      </c>
      <c r="H87" s="81">
        <f t="shared" si="20"/>
        <v>22000</v>
      </c>
    </row>
    <row r="88" spans="1:13" x14ac:dyDescent="0.3">
      <c r="B88" s="81" t="s">
        <v>192</v>
      </c>
      <c r="C88" s="84">
        <f>-(C87-C16)*Lähtöarvot!$E$175</f>
        <v>-114000</v>
      </c>
      <c r="D88" s="84">
        <f>-(D87-D16)*Lähtöarvot!$E$175</f>
        <v>-1200000</v>
      </c>
      <c r="E88" s="84">
        <f>-(E87-E16)*Lähtöarvot!$E$175</f>
        <v>-5400000</v>
      </c>
      <c r="F88" s="84">
        <f>-(F87-F16)*Lähtöarvot!$E$175</f>
        <v>-10800000</v>
      </c>
      <c r="G88" s="84">
        <f>-(G87-G16)*Lähtöarvot!$E$175</f>
        <v>-13800000</v>
      </c>
      <c r="H88" s="84">
        <f>-(H87-H16)*Lähtöarvot!$E$175</f>
        <v>-16800000</v>
      </c>
      <c r="J88" t="s">
        <v>405</v>
      </c>
    </row>
    <row r="89" spans="1:13" x14ac:dyDescent="0.3">
      <c r="B89" s="79" t="s">
        <v>232</v>
      </c>
      <c r="C89" s="83"/>
      <c r="D89" s="83"/>
      <c r="E89" s="83"/>
      <c r="F89" s="83"/>
      <c r="G89" s="83"/>
      <c r="H89" s="83"/>
      <c r="J89" t="s">
        <v>406</v>
      </c>
    </row>
    <row r="90" spans="1:13" x14ac:dyDescent="0.3">
      <c r="A90" s="89"/>
      <c r="B90" s="49" t="s">
        <v>233</v>
      </c>
      <c r="C90" s="90">
        <v>5</v>
      </c>
      <c r="D90" s="90">
        <v>5</v>
      </c>
      <c r="E90" s="90">
        <v>5</v>
      </c>
      <c r="F90" s="90">
        <v>5</v>
      </c>
      <c r="G90" s="90">
        <v>7</v>
      </c>
      <c r="H90" s="90">
        <v>7</v>
      </c>
    </row>
    <row r="91" spans="1:13" x14ac:dyDescent="0.3">
      <c r="B91" s="49" t="s">
        <v>404</v>
      </c>
      <c r="C91" s="49">
        <f t="shared" ref="C91:H91" si="21">C16*C90</f>
        <v>75</v>
      </c>
      <c r="D91" s="49">
        <f t="shared" si="21"/>
        <v>500</v>
      </c>
      <c r="E91" s="49">
        <f t="shared" si="21"/>
        <v>5000</v>
      </c>
      <c r="F91" s="49">
        <f t="shared" si="21"/>
        <v>10000</v>
      </c>
      <c r="G91" s="49">
        <f t="shared" si="21"/>
        <v>35000</v>
      </c>
      <c r="H91" s="49">
        <f t="shared" si="21"/>
        <v>56000</v>
      </c>
    </row>
    <row r="92" spans="1:13" x14ac:dyDescent="0.3">
      <c r="B92" s="49" t="s">
        <v>192</v>
      </c>
      <c r="C92" s="83">
        <f>-(C91-C16)*Lähtöarvot!$E$175</f>
        <v>-72000</v>
      </c>
      <c r="D92" s="83">
        <f>-(D91-D16)*Lähtöarvot!$E$175</f>
        <v>-480000</v>
      </c>
      <c r="E92" s="83">
        <f>-(E91-E16)*Lähtöarvot!$E$175</f>
        <v>-4800000</v>
      </c>
      <c r="F92" s="83">
        <f>-(F91-F16)*Lähtöarvot!$E$175</f>
        <v>-9600000</v>
      </c>
      <c r="G92" s="83">
        <f>-(G91-G16)*Lähtöarvot!$E$175</f>
        <v>-36000000</v>
      </c>
      <c r="H92" s="83">
        <f>-(H91-H16)*Lähtöarvot!$E$175</f>
        <v>-57600000</v>
      </c>
      <c r="J92" t="s">
        <v>405</v>
      </c>
    </row>
    <row r="93" spans="1:13" x14ac:dyDescent="0.3">
      <c r="B93" s="49"/>
      <c r="C93" s="83"/>
      <c r="D93" s="83"/>
      <c r="E93" s="83"/>
      <c r="F93" s="83"/>
      <c r="G93" s="83"/>
      <c r="H93" s="83"/>
      <c r="J93" t="s">
        <v>406</v>
      </c>
    </row>
    <row r="94" spans="1:13" x14ac:dyDescent="0.3">
      <c r="B94" s="80" t="s">
        <v>441</v>
      </c>
      <c r="C94" s="83"/>
      <c r="D94" s="83"/>
      <c r="E94" s="83"/>
      <c r="F94" s="83"/>
      <c r="G94" s="83"/>
      <c r="H94" s="83"/>
    </row>
    <row r="95" spans="1:13" x14ac:dyDescent="0.3">
      <c r="B95" s="79" t="s">
        <v>446</v>
      </c>
      <c r="C95" s="83"/>
      <c r="D95" s="83"/>
      <c r="E95" s="83"/>
      <c r="F95" s="83"/>
      <c r="G95" s="83"/>
      <c r="H95" s="83"/>
    </row>
    <row r="96" spans="1:13" x14ac:dyDescent="0.3">
      <c r="B96" s="79" t="s">
        <v>451</v>
      </c>
      <c r="C96" s="83"/>
      <c r="D96" s="83"/>
      <c r="E96" s="83"/>
      <c r="F96" s="83"/>
      <c r="G96" s="83"/>
      <c r="H96" s="83"/>
    </row>
    <row r="97" spans="1:10" x14ac:dyDescent="0.3">
      <c r="B97" s="49" t="s">
        <v>447</v>
      </c>
      <c r="C97" s="78">
        <f>-(C91-C16)*2*Lähtöarvot!$D$185*Lähtöarvot!$D$196/10</f>
        <v>-28800</v>
      </c>
      <c r="D97" s="78">
        <f>-(D91-D16)*2*Lähtöarvot!$D$185*Lähtöarvot!$D$196/10</f>
        <v>-192000</v>
      </c>
      <c r="E97" s="78">
        <f>-(E91-E16)*2*Lähtöarvot!$D$185*Lähtöarvot!$D$196/10</f>
        <v>-1920000</v>
      </c>
      <c r="F97" s="78">
        <f>-(F91-F16)*2*Lähtöarvot!$D$185*Lähtöarvot!$D$196/10</f>
        <v>-3840000</v>
      </c>
      <c r="G97" s="78">
        <f>-(G91-G16)*2*Lähtöarvot!$D$185*Lähtöarvot!$D$196/10</f>
        <v>-14400000</v>
      </c>
      <c r="H97" s="78">
        <f>-(H91-H16)*2*Lähtöarvot!$D$185*Lähtöarvot!$D$196/10</f>
        <v>-23040000</v>
      </c>
    </row>
    <row r="98" spans="1:10" x14ac:dyDescent="0.3">
      <c r="C98" s="15"/>
      <c r="D98" s="15"/>
      <c r="E98" s="15"/>
      <c r="F98" s="15"/>
      <c r="G98" s="15"/>
      <c r="H98" s="15"/>
    </row>
    <row r="99" spans="1:10" x14ac:dyDescent="0.3">
      <c r="B99" s="58" t="s">
        <v>200</v>
      </c>
      <c r="C99" s="15"/>
      <c r="D99" s="15"/>
      <c r="E99" s="15"/>
      <c r="F99" s="15"/>
      <c r="G99" s="15"/>
      <c r="H99" s="15"/>
    </row>
    <row r="100" spans="1:10" x14ac:dyDescent="0.3">
      <c r="A100" s="24"/>
      <c r="B100" s="3" t="s">
        <v>462</v>
      </c>
      <c r="C100" s="43">
        <v>0.3</v>
      </c>
      <c r="D100" s="43">
        <v>0.3</v>
      </c>
      <c r="E100" s="43">
        <v>0.3</v>
      </c>
      <c r="F100" s="43">
        <v>0.3</v>
      </c>
      <c r="G100" s="43">
        <v>0.3</v>
      </c>
      <c r="H100" s="43">
        <v>0.3</v>
      </c>
    </row>
    <row r="101" spans="1:10" x14ac:dyDescent="0.3">
      <c r="A101" s="28"/>
      <c r="B101" s="3" t="s">
        <v>201</v>
      </c>
      <c r="C101" s="42">
        <f>1-C100</f>
        <v>0.7</v>
      </c>
      <c r="D101" s="42">
        <f t="shared" ref="D101:H101" si="22">1-D100</f>
        <v>0.7</v>
      </c>
      <c r="E101" s="42">
        <f t="shared" si="22"/>
        <v>0.7</v>
      </c>
      <c r="F101" s="42">
        <f t="shared" si="22"/>
        <v>0.7</v>
      </c>
      <c r="G101" s="42">
        <f t="shared" si="22"/>
        <v>0.7</v>
      </c>
      <c r="H101" s="42">
        <f t="shared" si="22"/>
        <v>0.7</v>
      </c>
    </row>
    <row r="102" spans="1:10" x14ac:dyDescent="0.3">
      <c r="A102" s="28"/>
      <c r="B102" s="22" t="s">
        <v>477</v>
      </c>
      <c r="C102" s="42"/>
      <c r="D102" s="42"/>
      <c r="E102" s="42"/>
      <c r="F102" s="42"/>
      <c r="G102" s="42"/>
      <c r="H102" s="42"/>
    </row>
    <row r="103" spans="1:10" x14ac:dyDescent="0.3">
      <c r="A103" s="89"/>
      <c r="B103" s="3" t="s">
        <v>202</v>
      </c>
      <c r="C103" s="93">
        <v>0.15</v>
      </c>
      <c r="D103" s="93">
        <v>0.15</v>
      </c>
      <c r="E103" s="93">
        <v>0.25</v>
      </c>
      <c r="F103" s="93">
        <v>0.25</v>
      </c>
      <c r="G103" s="93">
        <v>0.3</v>
      </c>
      <c r="H103" s="93">
        <v>0.3</v>
      </c>
      <c r="J103" t="s">
        <v>203</v>
      </c>
    </row>
    <row r="104" spans="1:10" x14ac:dyDescent="0.3">
      <c r="A104" s="89"/>
      <c r="B104" s="3" t="s">
        <v>204</v>
      </c>
      <c r="C104" s="93">
        <v>0.05</v>
      </c>
      <c r="D104" s="93">
        <v>0.05</v>
      </c>
      <c r="E104" s="93">
        <v>0.1</v>
      </c>
      <c r="F104" s="93">
        <v>0.1</v>
      </c>
      <c r="G104" s="93">
        <v>0.15</v>
      </c>
      <c r="H104" s="93">
        <v>0.15</v>
      </c>
      <c r="J104" t="s">
        <v>478</v>
      </c>
    </row>
    <row r="105" spans="1:10" x14ac:dyDescent="0.3">
      <c r="B105" s="3" t="s">
        <v>205</v>
      </c>
      <c r="C105" s="44">
        <f t="shared" ref="C105:H105" si="23">C17/30</f>
        <v>0.22500000000000001</v>
      </c>
      <c r="D105" s="44">
        <f t="shared" si="23"/>
        <v>0.22500000000000001</v>
      </c>
      <c r="E105" s="44">
        <f t="shared" si="23"/>
        <v>0.3</v>
      </c>
      <c r="F105" s="44">
        <f t="shared" si="23"/>
        <v>0.3</v>
      </c>
      <c r="G105" s="44">
        <f t="shared" si="23"/>
        <v>0.36666666666666664</v>
      </c>
      <c r="H105" s="44">
        <f t="shared" si="23"/>
        <v>0.36666666666666664</v>
      </c>
      <c r="J105" t="s">
        <v>467</v>
      </c>
    </row>
    <row r="106" spans="1:10" x14ac:dyDescent="0.3">
      <c r="A106" s="9" t="s">
        <v>136</v>
      </c>
      <c r="B106" s="9" t="s">
        <v>252</v>
      </c>
      <c r="C106" s="82">
        <f>C105*60</f>
        <v>13.5</v>
      </c>
      <c r="D106" s="82">
        <f t="shared" ref="D106:H106" si="24">D105*60</f>
        <v>13.5</v>
      </c>
      <c r="E106" s="82">
        <f t="shared" si="24"/>
        <v>18</v>
      </c>
      <c r="F106" s="82">
        <f t="shared" si="24"/>
        <v>18</v>
      </c>
      <c r="G106" s="82">
        <f t="shared" si="24"/>
        <v>22</v>
      </c>
      <c r="H106" s="82">
        <f t="shared" si="24"/>
        <v>22</v>
      </c>
    </row>
    <row r="107" spans="1:10" x14ac:dyDescent="0.3">
      <c r="B107" s="28" t="s">
        <v>132</v>
      </c>
      <c r="C107" s="15">
        <f t="shared" ref="C107:H107" si="25">C22</f>
        <v>133746.42857142858</v>
      </c>
      <c r="D107" s="15">
        <f t="shared" si="25"/>
        <v>2036700</v>
      </c>
      <c r="E107" s="15">
        <f t="shared" si="25"/>
        <v>29200000</v>
      </c>
      <c r="F107" s="15">
        <f t="shared" si="25"/>
        <v>77380000</v>
      </c>
      <c r="G107" s="15">
        <f t="shared" si="25"/>
        <v>215350000</v>
      </c>
      <c r="H107" s="15">
        <f t="shared" si="25"/>
        <v>356240000</v>
      </c>
    </row>
    <row r="108" spans="1:10" x14ac:dyDescent="0.3">
      <c r="B108" s="3" t="s">
        <v>207</v>
      </c>
      <c r="C108" s="15">
        <f>C100*C103*C107*C105</f>
        <v>1354.1825892857144</v>
      </c>
      <c r="D108" s="15">
        <f t="shared" ref="D108:G108" si="26">D100*D103*D107*D105</f>
        <v>20621.587500000001</v>
      </c>
      <c r="E108" s="15">
        <f t="shared" si="26"/>
        <v>657000</v>
      </c>
      <c r="F108" s="15">
        <f t="shared" si="26"/>
        <v>1741050</v>
      </c>
      <c r="G108" s="15">
        <f t="shared" si="26"/>
        <v>7106549.9999999991</v>
      </c>
      <c r="H108" s="15">
        <f>H100*H103*H107*H105</f>
        <v>11755920</v>
      </c>
      <c r="I108" s="127"/>
    </row>
    <row r="109" spans="1:10" x14ac:dyDescent="0.3">
      <c r="B109" s="3" t="s">
        <v>208</v>
      </c>
      <c r="C109" s="15">
        <f>C101*C104*C107*C105</f>
        <v>1053.253125</v>
      </c>
      <c r="D109" s="15">
        <f t="shared" ref="D109:G109" si="27">D101*D104*D107*D105</f>
        <v>16039.012499999997</v>
      </c>
      <c r="E109" s="15">
        <f t="shared" si="27"/>
        <v>613199.99999999988</v>
      </c>
      <c r="F109" s="15">
        <f t="shared" si="27"/>
        <v>1624979.9999999998</v>
      </c>
      <c r="G109" s="15">
        <f t="shared" si="27"/>
        <v>8290974.9999999991</v>
      </c>
      <c r="H109" s="15">
        <f>H101*H104*H107*H105</f>
        <v>13715239.999999998</v>
      </c>
      <c r="I109" s="15"/>
    </row>
    <row r="110" spans="1:10" x14ac:dyDescent="0.3">
      <c r="A110" s="9" t="s">
        <v>136</v>
      </c>
      <c r="B110" s="81" t="s">
        <v>253</v>
      </c>
      <c r="C110" s="84">
        <f>(C108+C109)/365</f>
        <v>6.5957142857142861</v>
      </c>
      <c r="D110" s="84">
        <f t="shared" ref="D110:H110" si="28">(D108+D109)/365</f>
        <v>100.44</v>
      </c>
      <c r="E110" s="84">
        <f t="shared" si="28"/>
        <v>3480</v>
      </c>
      <c r="F110" s="84">
        <f t="shared" si="28"/>
        <v>9222</v>
      </c>
      <c r="G110" s="84">
        <f t="shared" si="28"/>
        <v>42184.999999999993</v>
      </c>
      <c r="H110" s="84">
        <f t="shared" si="28"/>
        <v>69784</v>
      </c>
    </row>
    <row r="111" spans="1:10" x14ac:dyDescent="0.3">
      <c r="B111" s="3" t="s">
        <v>206</v>
      </c>
      <c r="C111" s="15">
        <f>-(C108*Lähtöarvot!$E$35+C109*Lähtöarvot!$E$22)</f>
        <v>-25983.227418046146</v>
      </c>
      <c r="D111" s="15">
        <f>-(D108*Lähtöarvot!$E$35+D109*Lähtöarvot!$E$22)</f>
        <v>-395674.41050638689</v>
      </c>
      <c r="E111" s="15">
        <f>-(E108*Lähtöarvot!$E$35+E109*Lähtöarvot!$E$22)</f>
        <v>-13300052.23357664</v>
      </c>
      <c r="F111" s="15">
        <f>-(F108*Lähtöarvot!$E$35+F109*Lähtöarvot!$E$22)</f>
        <v>-35245138.418978103</v>
      </c>
      <c r="G111" s="15">
        <f>-(G108*Lähtöarvot!$E$35+G109*Lähtöarvot!$E$22)</f>
        <v>-155121375.70985401</v>
      </c>
      <c r="H111" s="15">
        <f>-(H108*Lähtöarvot!$E$35+H109*Lähtöarvot!$E$22)</f>
        <v>-256607563.88613141</v>
      </c>
    </row>
    <row r="112" spans="1:10" x14ac:dyDescent="0.3">
      <c r="B112" s="3"/>
      <c r="C112" s="15"/>
      <c r="D112" s="15"/>
      <c r="E112" s="15"/>
      <c r="F112" s="15"/>
      <c r="G112" s="15"/>
      <c r="H112" s="15"/>
    </row>
    <row r="113" spans="1:10" x14ac:dyDescent="0.3">
      <c r="A113" s="21"/>
      <c r="B113" s="131" t="s">
        <v>476</v>
      </c>
      <c r="C113" s="132"/>
      <c r="D113" s="132"/>
      <c r="E113" s="132"/>
      <c r="F113" s="132"/>
      <c r="G113" s="132"/>
      <c r="H113" s="132"/>
    </row>
    <row r="115" spans="1:10" x14ac:dyDescent="0.3">
      <c r="B115" s="1" t="s">
        <v>466</v>
      </c>
      <c r="C115" s="6"/>
      <c r="D115" s="6"/>
      <c r="E115" s="6"/>
      <c r="F115" s="6"/>
      <c r="G115" s="6"/>
      <c r="H115" s="6"/>
    </row>
    <row r="116" spans="1:10" x14ac:dyDescent="0.3">
      <c r="B116" s="19" t="s">
        <v>124</v>
      </c>
      <c r="C116" s="8">
        <f t="shared" ref="C116:H116" si="29">C16</f>
        <v>15</v>
      </c>
      <c r="D116" s="8">
        <f t="shared" si="29"/>
        <v>100</v>
      </c>
      <c r="E116" s="8">
        <f t="shared" si="29"/>
        <v>1000</v>
      </c>
      <c r="F116" s="8">
        <f t="shared" si="29"/>
        <v>2000</v>
      </c>
      <c r="G116" s="8">
        <f t="shared" si="29"/>
        <v>5000</v>
      </c>
      <c r="H116" s="8">
        <f t="shared" si="29"/>
        <v>8000</v>
      </c>
    </row>
    <row r="117" spans="1:10" x14ac:dyDescent="0.3">
      <c r="B117" t="s">
        <v>180</v>
      </c>
      <c r="C117" s="59">
        <f>C69/1000000</f>
        <v>2.1463573037580001E-2</v>
      </c>
      <c r="D117" s="59">
        <f t="shared" ref="D117:H117" si="30">D69/1000000</f>
        <v>0.26642874715799403</v>
      </c>
      <c r="E117" s="59">
        <f t="shared" si="30"/>
        <v>2.2961389351679999</v>
      </c>
      <c r="F117" s="59">
        <f t="shared" si="30"/>
        <v>0.34904263975199956</v>
      </c>
      <c r="G117" s="59">
        <f t="shared" si="30"/>
        <v>-32.197301042616004</v>
      </c>
      <c r="H117" s="59">
        <f t="shared" si="30"/>
        <v>-59.201390268940806</v>
      </c>
      <c r="J117" t="s">
        <v>173</v>
      </c>
    </row>
    <row r="118" spans="1:10" x14ac:dyDescent="0.3">
      <c r="B118" t="s">
        <v>181</v>
      </c>
      <c r="C118" s="59">
        <f t="shared" ref="C118:H118" si="31">C76/1000000</f>
        <v>1.3182997975804691E-2</v>
      </c>
      <c r="D118" s="59">
        <f t="shared" si="31"/>
        <v>0.17553771173151902</v>
      </c>
      <c r="E118" s="59">
        <f t="shared" si="31"/>
        <v>2.7249383658600004</v>
      </c>
      <c r="F118" s="59">
        <f t="shared" si="31"/>
        <v>5.6016732474450004</v>
      </c>
      <c r="G118" s="59">
        <f t="shared" si="31"/>
        <v>10.343226065535001</v>
      </c>
      <c r="H118" s="59">
        <f t="shared" si="31"/>
        <v>14.534491647192006</v>
      </c>
      <c r="J118" t="s">
        <v>174</v>
      </c>
    </row>
    <row r="119" spans="1:10" x14ac:dyDescent="0.3">
      <c r="B119" t="s">
        <v>182</v>
      </c>
      <c r="C119" s="59">
        <f t="shared" ref="C119:H119" si="32">C79/1000000</f>
        <v>1.4218917187499998E-3</v>
      </c>
      <c r="D119" s="59">
        <f t="shared" si="32"/>
        <v>1.8390331732499998E-2</v>
      </c>
      <c r="E119" s="59">
        <f t="shared" si="32"/>
        <v>0.2538648</v>
      </c>
      <c r="F119" s="59">
        <f t="shared" si="32"/>
        <v>0.43874459999999998</v>
      </c>
      <c r="G119" s="59">
        <f t="shared" si="32"/>
        <v>0.14923755</v>
      </c>
      <c r="H119" s="59">
        <f t="shared" si="32"/>
        <v>-8.2291439999999993E-2</v>
      </c>
    </row>
    <row r="120" spans="1:10" x14ac:dyDescent="0.3">
      <c r="B120" t="s">
        <v>449</v>
      </c>
      <c r="C120" s="59">
        <f t="shared" ref="C120:H120" si="33">C92/1000000</f>
        <v>-7.1999999999999995E-2</v>
      </c>
      <c r="D120" s="59">
        <f t="shared" si="33"/>
        <v>-0.48</v>
      </c>
      <c r="E120" s="59">
        <f t="shared" si="33"/>
        <v>-4.8</v>
      </c>
      <c r="F120" s="59">
        <f t="shared" si="33"/>
        <v>-9.6</v>
      </c>
      <c r="G120" s="59">
        <f t="shared" si="33"/>
        <v>-36</v>
      </c>
      <c r="H120" s="59">
        <f t="shared" si="33"/>
        <v>-57.6</v>
      </c>
    </row>
    <row r="121" spans="1:10" x14ac:dyDescent="0.3">
      <c r="B121" t="s">
        <v>450</v>
      </c>
      <c r="C121" s="59">
        <f>C97/1000000</f>
        <v>-2.8799999999999999E-2</v>
      </c>
      <c r="D121" s="59">
        <f t="shared" ref="D121:H121" si="34">D97/1000000</f>
        <v>-0.192</v>
      </c>
      <c r="E121" s="59">
        <f t="shared" si="34"/>
        <v>-1.92</v>
      </c>
      <c r="F121" s="59">
        <f t="shared" si="34"/>
        <v>-3.84</v>
      </c>
      <c r="G121" s="59">
        <f t="shared" si="34"/>
        <v>-14.4</v>
      </c>
      <c r="H121" s="59">
        <f t="shared" si="34"/>
        <v>-23.04</v>
      </c>
    </row>
    <row r="122" spans="1:10" x14ac:dyDescent="0.3">
      <c r="B122" s="8" t="s">
        <v>210</v>
      </c>
      <c r="C122" s="133">
        <f t="shared" ref="C122:H122" si="35">C111/1000000</f>
        <v>-2.5983227418046147E-2</v>
      </c>
      <c r="D122" s="133">
        <f t="shared" si="35"/>
        <v>-0.39567441050638691</v>
      </c>
      <c r="E122" s="133">
        <f t="shared" si="35"/>
        <v>-13.30005223357664</v>
      </c>
      <c r="F122" s="133">
        <f t="shared" si="35"/>
        <v>-35.245138418978101</v>
      </c>
      <c r="G122" s="133">
        <f t="shared" si="35"/>
        <v>-155.12137570985399</v>
      </c>
      <c r="H122" s="133">
        <f t="shared" si="35"/>
        <v>-256.6075638861314</v>
      </c>
    </row>
    <row r="123" spans="1:10" x14ac:dyDescent="0.3">
      <c r="B123" t="s">
        <v>169</v>
      </c>
      <c r="C123" s="59">
        <f>SUM(C117:C122)</f>
        <v>-9.0714764685911456E-2</v>
      </c>
      <c r="D123" s="59">
        <f t="shared" ref="D123:H123" si="36">SUM(D117:D122)</f>
        <v>-0.60731761988437394</v>
      </c>
      <c r="E123" s="59">
        <f t="shared" si="36"/>
        <v>-14.745110132548639</v>
      </c>
      <c r="F123" s="59">
        <f t="shared" si="36"/>
        <v>-42.2956779317811</v>
      </c>
      <c r="G123" s="59">
        <f t="shared" si="36"/>
        <v>-227.226213136935</v>
      </c>
      <c r="H123" s="59">
        <f t="shared" si="36"/>
        <v>-381.99675394788017</v>
      </c>
    </row>
    <row r="125" spans="1:10" x14ac:dyDescent="0.3">
      <c r="B125" s="22"/>
    </row>
    <row r="143" spans="2:8" x14ac:dyDescent="0.3">
      <c r="C143" t="s">
        <v>198</v>
      </c>
    </row>
    <row r="144" spans="2:8" x14ac:dyDescent="0.3">
      <c r="B144" s="64" t="s">
        <v>124</v>
      </c>
      <c r="C144" s="8">
        <f>C116</f>
        <v>15</v>
      </c>
      <c r="D144" s="8">
        <f t="shared" ref="D144:H144" si="37">D116</f>
        <v>100</v>
      </c>
      <c r="E144" s="8">
        <f t="shared" si="37"/>
        <v>1000</v>
      </c>
      <c r="F144" s="8">
        <f t="shared" si="37"/>
        <v>2000</v>
      </c>
      <c r="G144" s="8">
        <f t="shared" si="37"/>
        <v>5000</v>
      </c>
      <c r="H144" s="8">
        <f t="shared" si="37"/>
        <v>8000</v>
      </c>
    </row>
    <row r="145" spans="2:8" x14ac:dyDescent="0.3">
      <c r="B145" s="38" t="s">
        <v>254</v>
      </c>
      <c r="C145">
        <f t="shared" ref="C145:H145" si="38">C91</f>
        <v>75</v>
      </c>
      <c r="D145">
        <f t="shared" si="38"/>
        <v>500</v>
      </c>
      <c r="E145">
        <f t="shared" si="38"/>
        <v>5000</v>
      </c>
      <c r="F145">
        <f t="shared" si="38"/>
        <v>10000</v>
      </c>
      <c r="G145">
        <f t="shared" si="38"/>
        <v>35000</v>
      </c>
      <c r="H145">
        <f t="shared" si="38"/>
        <v>56000</v>
      </c>
    </row>
    <row r="146" spans="2:8" x14ac:dyDescent="0.3">
      <c r="B146" s="38" t="s">
        <v>196</v>
      </c>
      <c r="C146" s="39">
        <f t="shared" ref="C146:H146" si="39">C39</f>
        <v>0.15</v>
      </c>
      <c r="D146" s="39">
        <f t="shared" si="39"/>
        <v>0.17</v>
      </c>
      <c r="E146" s="39">
        <f t="shared" si="39"/>
        <v>0.4</v>
      </c>
      <c r="F146" s="39">
        <f t="shared" si="39"/>
        <v>0.5</v>
      </c>
      <c r="G146" s="39">
        <f t="shared" si="39"/>
        <v>0.6</v>
      </c>
      <c r="H146" s="39">
        <f t="shared" si="39"/>
        <v>0.6</v>
      </c>
    </row>
    <row r="147" spans="2:8" x14ac:dyDescent="0.3">
      <c r="B147" s="38" t="s">
        <v>199</v>
      </c>
      <c r="C147" s="39">
        <f t="shared" ref="C147:H148" si="40">C41</f>
        <v>0.1</v>
      </c>
      <c r="D147" s="39">
        <f t="shared" si="40"/>
        <v>0.1</v>
      </c>
      <c r="E147" s="39">
        <f t="shared" si="40"/>
        <v>0.06</v>
      </c>
      <c r="F147" s="39">
        <f t="shared" si="40"/>
        <v>0.04</v>
      </c>
      <c r="G147" s="39">
        <f t="shared" si="40"/>
        <v>0.02</v>
      </c>
      <c r="H147" s="39">
        <f t="shared" si="40"/>
        <v>0.02</v>
      </c>
    </row>
    <row r="148" spans="2:8" x14ac:dyDescent="0.3">
      <c r="B148" s="38" t="s">
        <v>197</v>
      </c>
      <c r="C148" s="39">
        <f t="shared" si="40"/>
        <v>0.65</v>
      </c>
      <c r="D148" s="39">
        <f t="shared" si="40"/>
        <v>0.64</v>
      </c>
      <c r="E148" s="39">
        <f t="shared" si="40"/>
        <v>0.44999999999999996</v>
      </c>
      <c r="F148" s="39">
        <f t="shared" si="40"/>
        <v>0.33</v>
      </c>
      <c r="G148" s="39">
        <f t="shared" si="40"/>
        <v>0.23</v>
      </c>
      <c r="H148" s="39">
        <f t="shared" si="40"/>
        <v>0.2</v>
      </c>
    </row>
    <row r="149" spans="2:8" x14ac:dyDescent="0.3">
      <c r="B149" s="66" t="s">
        <v>202</v>
      </c>
      <c r="C149" s="39">
        <f t="shared" ref="C149:H150" si="41">C103</f>
        <v>0.15</v>
      </c>
      <c r="D149" s="39">
        <f t="shared" si="41"/>
        <v>0.15</v>
      </c>
      <c r="E149" s="39">
        <f t="shared" si="41"/>
        <v>0.25</v>
      </c>
      <c r="F149" s="39">
        <f t="shared" si="41"/>
        <v>0.25</v>
      </c>
      <c r="G149" s="39">
        <f t="shared" si="41"/>
        <v>0.3</v>
      </c>
      <c r="H149" s="39">
        <f t="shared" si="41"/>
        <v>0.3</v>
      </c>
    </row>
    <row r="150" spans="2:8" x14ac:dyDescent="0.3">
      <c r="B150" s="66" t="s">
        <v>204</v>
      </c>
      <c r="C150" s="39">
        <f t="shared" si="41"/>
        <v>0.05</v>
      </c>
      <c r="D150" s="39">
        <f t="shared" si="41"/>
        <v>0.05</v>
      </c>
      <c r="E150" s="39">
        <f t="shared" si="41"/>
        <v>0.1</v>
      </c>
      <c r="F150" s="39">
        <f t="shared" si="41"/>
        <v>0.1</v>
      </c>
      <c r="G150" s="39">
        <f t="shared" si="41"/>
        <v>0.15</v>
      </c>
      <c r="H150" s="39">
        <f t="shared" si="41"/>
        <v>0.15</v>
      </c>
    </row>
  </sheetData>
  <mergeCells count="2">
    <mergeCell ref="A17:A19"/>
    <mergeCell ref="A39:A4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workbookViewId="0">
      <selection activeCell="C10" sqref="C10"/>
    </sheetView>
  </sheetViews>
  <sheetFormatPr defaultRowHeight="14.4" x14ac:dyDescent="0.3"/>
  <cols>
    <col min="1" max="1" width="17.109375" customWidth="1"/>
    <col min="2" max="2" width="56.44140625" customWidth="1"/>
    <col min="3" max="3" width="18.88671875" customWidth="1"/>
    <col min="4" max="4" width="10.33203125" customWidth="1"/>
    <col min="5" max="5" width="11.5546875" customWidth="1"/>
    <col min="6" max="6" width="11.44140625" customWidth="1"/>
    <col min="7" max="7" width="13" customWidth="1"/>
    <col min="8" max="8" width="13.33203125" customWidth="1"/>
    <col min="9" max="9" width="9.5546875" bestFit="1" customWidth="1"/>
  </cols>
  <sheetData>
    <row r="1" spans="1:11" x14ac:dyDescent="0.3">
      <c r="B1" s="1" t="s">
        <v>463</v>
      </c>
      <c r="C1" s="1" t="s">
        <v>677</v>
      </c>
    </row>
    <row r="2" spans="1:11" ht="15" x14ac:dyDescent="0.25">
      <c r="B2" s="1"/>
    </row>
    <row r="3" spans="1:11" x14ac:dyDescent="0.3">
      <c r="B3" t="s">
        <v>572</v>
      </c>
    </row>
    <row r="4" spans="1:11" x14ac:dyDescent="0.3">
      <c r="B4" t="s">
        <v>256</v>
      </c>
    </row>
    <row r="5" spans="1:11" x14ac:dyDescent="0.3">
      <c r="B5" t="s">
        <v>464</v>
      </c>
    </row>
    <row r="7" spans="1:11" x14ac:dyDescent="0.3">
      <c r="B7" t="s">
        <v>270</v>
      </c>
    </row>
    <row r="9" spans="1:11" x14ac:dyDescent="0.3">
      <c r="B9" s="87" t="s">
        <v>142</v>
      </c>
      <c r="D9" t="s">
        <v>173</v>
      </c>
    </row>
    <row r="10" spans="1:11" x14ac:dyDescent="0.3">
      <c r="B10" s="24" t="s">
        <v>420</v>
      </c>
      <c r="D10" t="s">
        <v>174</v>
      </c>
    </row>
    <row r="11" spans="1:11" x14ac:dyDescent="0.3">
      <c r="B11" s="89" t="s">
        <v>257</v>
      </c>
    </row>
    <row r="12" spans="1:11" x14ac:dyDescent="0.3">
      <c r="B12" s="3" t="s">
        <v>259</v>
      </c>
    </row>
    <row r="13" spans="1:11" ht="15" x14ac:dyDescent="0.25">
      <c r="B13" s="3"/>
    </row>
    <row r="14" spans="1:11" x14ac:dyDescent="0.3">
      <c r="A14" s="21"/>
      <c r="B14" s="131" t="s">
        <v>474</v>
      </c>
      <c r="C14" s="21"/>
      <c r="D14" s="21"/>
      <c r="E14" s="21"/>
      <c r="F14" s="21"/>
      <c r="G14" s="21"/>
      <c r="H14" s="21"/>
    </row>
    <row r="15" spans="1:11" ht="15" x14ac:dyDescent="0.25">
      <c r="B15" s="58"/>
    </row>
    <row r="16" spans="1:11" ht="30" customHeight="1" x14ac:dyDescent="0.3">
      <c r="A16" s="24"/>
      <c r="B16" s="128" t="s">
        <v>124</v>
      </c>
      <c r="C16" s="129">
        <f>Lyhyt_av_neutraali!C16</f>
        <v>15</v>
      </c>
      <c r="D16" s="129">
        <f>Lyhyt_av_neutraali!D16</f>
        <v>100</v>
      </c>
      <c r="E16" s="129">
        <f>Lyhyt_av_neutraali!E16</f>
        <v>1000</v>
      </c>
      <c r="F16" s="129">
        <f>Lyhyt_av_neutraali!F16</f>
        <v>2000</v>
      </c>
      <c r="G16" s="129">
        <f>Lyhyt_av_neutraali!G16</f>
        <v>5000</v>
      </c>
      <c r="H16" s="129">
        <f>Lyhyt_av_neutraali!H16</f>
        <v>8000</v>
      </c>
      <c r="J16" s="8" t="s">
        <v>407</v>
      </c>
      <c r="K16" s="8"/>
    </row>
    <row r="17" spans="1:10" ht="15" customHeight="1" x14ac:dyDescent="0.3">
      <c r="A17" s="204" t="s">
        <v>125</v>
      </c>
      <c r="B17" t="s">
        <v>145</v>
      </c>
      <c r="C17" s="24">
        <v>6.75</v>
      </c>
      <c r="D17" s="24">
        <v>6.75</v>
      </c>
      <c r="E17" s="24">
        <v>9</v>
      </c>
      <c r="F17" s="24">
        <v>9</v>
      </c>
      <c r="G17" s="24">
        <v>11</v>
      </c>
      <c r="H17" s="24">
        <v>11</v>
      </c>
    </row>
    <row r="18" spans="1:10" x14ac:dyDescent="0.3">
      <c r="A18" s="204"/>
      <c r="B18" t="s">
        <v>146</v>
      </c>
      <c r="C18" s="24">
        <v>1.9</v>
      </c>
      <c r="D18" s="24">
        <v>3.1</v>
      </c>
      <c r="E18" s="24">
        <v>4</v>
      </c>
      <c r="F18" s="24">
        <v>5.3</v>
      </c>
      <c r="G18" s="24">
        <v>5.9</v>
      </c>
      <c r="H18" s="24">
        <v>6.1</v>
      </c>
    </row>
    <row r="19" spans="1:10" x14ac:dyDescent="0.3">
      <c r="A19" s="204"/>
      <c r="B19" t="s">
        <v>147</v>
      </c>
      <c r="C19" s="24">
        <v>1.05</v>
      </c>
      <c r="D19" s="24">
        <v>0.94</v>
      </c>
      <c r="E19" s="24">
        <v>0.83</v>
      </c>
      <c r="F19" s="24">
        <v>0.71</v>
      </c>
      <c r="G19" s="24">
        <v>0.54</v>
      </c>
      <c r="H19" s="24">
        <v>0.5</v>
      </c>
      <c r="J19" t="s">
        <v>131</v>
      </c>
    </row>
    <row r="20" spans="1:10" x14ac:dyDescent="0.3">
      <c r="A20" s="101"/>
      <c r="B20" t="s">
        <v>148</v>
      </c>
      <c r="C20" s="29">
        <f>(5*18+2*0)/7</f>
        <v>12.857142857142858</v>
      </c>
      <c r="D20" s="24">
        <f>(18*7)/7</f>
        <v>18</v>
      </c>
      <c r="E20" s="24">
        <v>20</v>
      </c>
      <c r="F20" s="24">
        <v>20</v>
      </c>
      <c r="G20" s="24">
        <v>20</v>
      </c>
      <c r="H20" s="24">
        <v>20</v>
      </c>
      <c r="J20" t="s">
        <v>134</v>
      </c>
    </row>
    <row r="21" spans="1:10" x14ac:dyDescent="0.3">
      <c r="A21" s="27"/>
      <c r="B21" s="28" t="s">
        <v>149</v>
      </c>
      <c r="C21" s="30">
        <f>C16*C20*365</f>
        <v>70392.857142857145</v>
      </c>
      <c r="D21" s="30">
        <f t="shared" ref="D21:G21" si="0">D16*D20*365</f>
        <v>657000</v>
      </c>
      <c r="E21" s="30">
        <f t="shared" si="0"/>
        <v>7300000</v>
      </c>
      <c r="F21" s="30">
        <f t="shared" si="0"/>
        <v>14600000</v>
      </c>
      <c r="G21" s="30">
        <f t="shared" si="0"/>
        <v>36500000</v>
      </c>
      <c r="H21" s="30">
        <f>H16*H20*365</f>
        <v>58400000</v>
      </c>
    </row>
    <row r="22" spans="1:10" x14ac:dyDescent="0.3">
      <c r="B22" s="28" t="s">
        <v>132</v>
      </c>
      <c r="C22" s="30">
        <f>C21*C18</f>
        <v>133746.42857142858</v>
      </c>
      <c r="D22" s="30">
        <f t="shared" ref="D22:G22" si="1">D21*D18</f>
        <v>2036700</v>
      </c>
      <c r="E22" s="30">
        <f t="shared" si="1"/>
        <v>29200000</v>
      </c>
      <c r="F22" s="30">
        <f t="shared" si="1"/>
        <v>77380000</v>
      </c>
      <c r="G22" s="30">
        <f t="shared" si="1"/>
        <v>215350000</v>
      </c>
      <c r="H22" s="30">
        <f>H21*H18</f>
        <v>356240000</v>
      </c>
    </row>
    <row r="23" spans="1:10" x14ac:dyDescent="0.3">
      <c r="A23" s="33" t="s">
        <v>136</v>
      </c>
      <c r="B23" s="31" t="s">
        <v>135</v>
      </c>
      <c r="C23" s="32">
        <f>C22/365</f>
        <v>366.42857142857144</v>
      </c>
      <c r="D23" s="32">
        <f t="shared" ref="D23:G23" si="2">D22/365</f>
        <v>5580</v>
      </c>
      <c r="E23" s="32">
        <f t="shared" si="2"/>
        <v>80000</v>
      </c>
      <c r="F23" s="32">
        <f t="shared" si="2"/>
        <v>212000</v>
      </c>
      <c r="G23" s="32">
        <f t="shared" si="2"/>
        <v>590000</v>
      </c>
      <c r="H23" s="32">
        <f>H22/365</f>
        <v>976000</v>
      </c>
    </row>
    <row r="24" spans="1:10" x14ac:dyDescent="0.3">
      <c r="A24" s="33" t="s">
        <v>136</v>
      </c>
      <c r="B24" s="31" t="s">
        <v>139</v>
      </c>
      <c r="C24" s="32">
        <f>C22/12</f>
        <v>11145.535714285716</v>
      </c>
      <c r="D24" s="32">
        <f t="shared" ref="D24:G24" si="3">D22/12</f>
        <v>169725</v>
      </c>
      <c r="E24" s="32">
        <f t="shared" si="3"/>
        <v>2433333.3333333335</v>
      </c>
      <c r="F24" s="32">
        <f t="shared" si="3"/>
        <v>6448333.333333333</v>
      </c>
      <c r="G24" s="32">
        <f t="shared" si="3"/>
        <v>17945833.333333332</v>
      </c>
      <c r="H24" s="32">
        <f>H22/12</f>
        <v>29686666.666666668</v>
      </c>
    </row>
    <row r="25" spans="1:10" x14ac:dyDescent="0.3">
      <c r="A25" s="33"/>
      <c r="B25" s="34" t="s">
        <v>138</v>
      </c>
      <c r="C25" s="30">
        <f t="shared" ref="C25:G25" si="4">C22*C17</f>
        <v>902788.39285714296</v>
      </c>
      <c r="D25" s="30">
        <f t="shared" si="4"/>
        <v>13747725</v>
      </c>
      <c r="E25" s="30">
        <f t="shared" si="4"/>
        <v>262800000</v>
      </c>
      <c r="F25" s="30">
        <f t="shared" si="4"/>
        <v>696420000</v>
      </c>
      <c r="G25" s="30">
        <f t="shared" si="4"/>
        <v>2368850000</v>
      </c>
      <c r="H25" s="30">
        <f>H22*H17</f>
        <v>3918640000</v>
      </c>
    </row>
    <row r="26" spans="1:10" x14ac:dyDescent="0.3">
      <c r="B26" t="s">
        <v>133</v>
      </c>
      <c r="C26" s="30">
        <f>C25*C19</f>
        <v>947927.81250000012</v>
      </c>
      <c r="D26" s="30">
        <f t="shared" ref="D26:G26" si="5">D25*D19</f>
        <v>12922861.5</v>
      </c>
      <c r="E26" s="30">
        <f t="shared" si="5"/>
        <v>218124000</v>
      </c>
      <c r="F26" s="30">
        <f t="shared" si="5"/>
        <v>494458200</v>
      </c>
      <c r="G26" s="30">
        <f t="shared" si="5"/>
        <v>1279179000</v>
      </c>
      <c r="H26" s="30">
        <f>H25*H19</f>
        <v>1959320000</v>
      </c>
    </row>
    <row r="27" spans="1:10" x14ac:dyDescent="0.3">
      <c r="A27" s="33" t="s">
        <v>136</v>
      </c>
      <c r="B27" s="9" t="s">
        <v>137</v>
      </c>
      <c r="C27" s="32">
        <f t="shared" ref="C27:G27" si="6">C26/365</f>
        <v>2597.0625000000005</v>
      </c>
      <c r="D27" s="32">
        <f t="shared" si="6"/>
        <v>35405.1</v>
      </c>
      <c r="E27" s="32">
        <f t="shared" si="6"/>
        <v>597600</v>
      </c>
      <c r="F27" s="32">
        <f t="shared" si="6"/>
        <v>1354680</v>
      </c>
      <c r="G27" s="32">
        <f t="shared" si="6"/>
        <v>3504600</v>
      </c>
      <c r="H27" s="32">
        <f>H26/365</f>
        <v>5368000</v>
      </c>
      <c r="J27" t="s">
        <v>140</v>
      </c>
    </row>
    <row r="28" spans="1:10" x14ac:dyDescent="0.3">
      <c r="A28" s="33" t="s">
        <v>136</v>
      </c>
      <c r="B28" s="9" t="s">
        <v>158</v>
      </c>
      <c r="C28" s="32">
        <f>C26/C21</f>
        <v>13.46625</v>
      </c>
      <c r="D28" s="32">
        <f t="shared" ref="D28:G28" si="7">D26/D21</f>
        <v>19.669499999999999</v>
      </c>
      <c r="E28" s="32">
        <f t="shared" si="7"/>
        <v>29.88</v>
      </c>
      <c r="F28" s="32">
        <f t="shared" si="7"/>
        <v>33.866999999999997</v>
      </c>
      <c r="G28" s="32">
        <f t="shared" si="7"/>
        <v>35.045999999999999</v>
      </c>
      <c r="H28" s="32">
        <f>H26/H21</f>
        <v>33.549999999999997</v>
      </c>
    </row>
    <row r="29" spans="1:10" x14ac:dyDescent="0.3">
      <c r="A29" s="33" t="s">
        <v>136</v>
      </c>
      <c r="B29" s="9" t="s">
        <v>255</v>
      </c>
      <c r="C29" s="32">
        <f>(3.5+0.45*C17)*0.8*C22</f>
        <v>699493.82142857148</v>
      </c>
      <c r="D29" s="32">
        <f t="shared" ref="D29:H29" si="8">(3.5+0.45*D17)*0.8*D22</f>
        <v>10651941</v>
      </c>
      <c r="E29" s="32">
        <f t="shared" si="8"/>
        <v>176368000</v>
      </c>
      <c r="F29" s="32">
        <f t="shared" si="8"/>
        <v>467375200</v>
      </c>
      <c r="G29" s="32">
        <f t="shared" si="8"/>
        <v>1455766000</v>
      </c>
      <c r="H29" s="32">
        <f t="shared" si="8"/>
        <v>2408182400</v>
      </c>
      <c r="J29" t="s">
        <v>258</v>
      </c>
    </row>
    <row r="30" spans="1:10" x14ac:dyDescent="0.3">
      <c r="A30" s="33"/>
      <c r="B30" s="9"/>
      <c r="C30" s="32"/>
      <c r="D30" s="32"/>
      <c r="E30" s="32"/>
      <c r="F30" s="32"/>
      <c r="G30" s="32"/>
      <c r="H30" s="32"/>
    </row>
    <row r="31" spans="1:10" x14ac:dyDescent="0.3">
      <c r="A31" s="33"/>
      <c r="B31" s="80" t="s">
        <v>251</v>
      </c>
      <c r="C31" s="32"/>
      <c r="D31" s="32"/>
      <c r="E31" s="32"/>
      <c r="F31" s="32"/>
      <c r="G31" s="32"/>
      <c r="H31" s="32"/>
    </row>
    <row r="32" spans="1:10" x14ac:dyDescent="0.3">
      <c r="A32" s="33"/>
      <c r="B32" s="79" t="s">
        <v>600</v>
      </c>
      <c r="C32" s="32"/>
      <c r="D32" s="32"/>
      <c r="E32" s="32"/>
      <c r="F32" s="32"/>
      <c r="G32" s="32"/>
      <c r="H32" s="32"/>
    </row>
    <row r="33" spans="1:11" x14ac:dyDescent="0.3">
      <c r="A33" s="33"/>
      <c r="B33" s="79" t="s">
        <v>602</v>
      </c>
      <c r="C33" s="32"/>
      <c r="D33" s="32"/>
      <c r="E33" s="32"/>
      <c r="F33" s="32"/>
      <c r="G33" s="32"/>
      <c r="H33" s="32"/>
    </row>
    <row r="34" spans="1:11" x14ac:dyDescent="0.3">
      <c r="A34" s="33"/>
      <c r="B34" s="79" t="s">
        <v>601</v>
      </c>
      <c r="C34" s="32"/>
      <c r="D34" s="32"/>
      <c r="E34" s="32"/>
      <c r="F34" s="32"/>
      <c r="G34" s="32"/>
      <c r="H34" s="32"/>
    </row>
    <row r="35" spans="1:11" x14ac:dyDescent="0.3">
      <c r="A35" s="33"/>
      <c r="B35" s="79" t="s">
        <v>603</v>
      </c>
      <c r="C35" s="32"/>
      <c r="D35" s="32"/>
      <c r="E35" s="32"/>
      <c r="F35" s="32"/>
      <c r="G35" s="32"/>
      <c r="H35" s="32"/>
    </row>
    <row r="36" spans="1:11" x14ac:dyDescent="0.3">
      <c r="A36" s="33"/>
      <c r="B36" s="79" t="s">
        <v>604</v>
      </c>
      <c r="C36" s="32"/>
      <c r="D36" s="32"/>
      <c r="E36" s="32"/>
      <c r="F36" s="32"/>
      <c r="G36" s="32"/>
      <c r="H36" s="32"/>
    </row>
    <row r="37" spans="1:11" x14ac:dyDescent="0.3">
      <c r="A37" s="33"/>
      <c r="B37" s="79" t="s">
        <v>605</v>
      </c>
      <c r="C37" s="32"/>
      <c r="D37" s="32"/>
      <c r="E37" s="32"/>
      <c r="F37" s="32"/>
      <c r="G37" s="32"/>
      <c r="H37" s="32"/>
    </row>
    <row r="38" spans="1:11" x14ac:dyDescent="0.3">
      <c r="A38" s="33"/>
      <c r="B38" s="79" t="s">
        <v>606</v>
      </c>
      <c r="C38" s="32"/>
      <c r="D38" s="32"/>
      <c r="E38" s="32"/>
      <c r="F38" s="32"/>
      <c r="G38" s="32"/>
      <c r="H38" s="32"/>
    </row>
    <row r="39" spans="1:11" ht="15" customHeight="1" x14ac:dyDescent="0.3">
      <c r="A39" s="205" t="s">
        <v>126</v>
      </c>
      <c r="B39" s="28" t="s">
        <v>127</v>
      </c>
      <c r="C39" s="134">
        <v>0.15</v>
      </c>
      <c r="D39" s="88">
        <v>0.17</v>
      </c>
      <c r="E39" s="88">
        <v>0.6</v>
      </c>
      <c r="F39" s="88">
        <v>0.7</v>
      </c>
      <c r="G39" s="88">
        <v>0.85</v>
      </c>
      <c r="H39" s="88">
        <v>0.85</v>
      </c>
    </row>
    <row r="40" spans="1:11" x14ac:dyDescent="0.3">
      <c r="A40" s="205"/>
      <c r="B40" s="28" t="s">
        <v>128</v>
      </c>
      <c r="C40" s="134">
        <v>0.03</v>
      </c>
      <c r="D40" s="88">
        <v>0.03</v>
      </c>
      <c r="E40" s="88">
        <v>0.03</v>
      </c>
      <c r="F40" s="88">
        <v>0.03</v>
      </c>
      <c r="G40" s="88">
        <v>0.05</v>
      </c>
      <c r="H40" s="88">
        <v>0.05</v>
      </c>
      <c r="J40" t="s">
        <v>141</v>
      </c>
    </row>
    <row r="41" spans="1:11" x14ac:dyDescent="0.3">
      <c r="A41" s="205"/>
      <c r="B41" s="28" t="s">
        <v>143</v>
      </c>
      <c r="C41" s="134">
        <v>0.1</v>
      </c>
      <c r="D41" s="88">
        <v>0.1</v>
      </c>
      <c r="E41" s="126">
        <v>0.06</v>
      </c>
      <c r="F41" s="126">
        <v>0.04</v>
      </c>
      <c r="G41" s="126">
        <v>0.02</v>
      </c>
      <c r="H41" s="126">
        <v>0.02</v>
      </c>
      <c r="J41" s="49" t="s">
        <v>465</v>
      </c>
    </row>
    <row r="42" spans="1:11" x14ac:dyDescent="0.3">
      <c r="A42" s="205"/>
      <c r="B42" s="28" t="s">
        <v>129</v>
      </c>
      <c r="C42" s="134">
        <v>0.65</v>
      </c>
      <c r="D42" s="88">
        <v>0.64</v>
      </c>
      <c r="E42" s="88">
        <v>0.25</v>
      </c>
      <c r="F42" s="88">
        <v>0.18</v>
      </c>
      <c r="G42" s="88">
        <v>0.05</v>
      </c>
      <c r="H42" s="88">
        <v>0.05</v>
      </c>
      <c r="J42" s="49" t="s">
        <v>248</v>
      </c>
      <c r="K42" s="49"/>
    </row>
    <row r="43" spans="1:11" x14ac:dyDescent="0.3">
      <c r="A43" s="205"/>
      <c r="B43" s="28" t="s">
        <v>130</v>
      </c>
      <c r="C43" s="134">
        <f>100 %-SUM(C39:C42)</f>
        <v>6.9999999999999951E-2</v>
      </c>
      <c r="D43" s="88">
        <f t="shared" ref="D43:H43" si="9">100 %-SUM(D39:D42)</f>
        <v>5.9999999999999942E-2</v>
      </c>
      <c r="E43" s="88">
        <f t="shared" si="9"/>
        <v>6.0000000000000053E-2</v>
      </c>
      <c r="F43" s="88">
        <f t="shared" si="9"/>
        <v>5.0000000000000044E-2</v>
      </c>
      <c r="G43" s="88">
        <f t="shared" si="9"/>
        <v>2.9999999999999916E-2</v>
      </c>
      <c r="H43" s="88">
        <f t="shared" si="9"/>
        <v>2.9999999999999916E-2</v>
      </c>
      <c r="J43" s="49"/>
      <c r="K43" s="49"/>
    </row>
    <row r="44" spans="1:11" x14ac:dyDescent="0.3">
      <c r="B44" s="100" t="s">
        <v>282</v>
      </c>
      <c r="J44" s="49" t="s">
        <v>283</v>
      </c>
      <c r="K44" s="49"/>
    </row>
    <row r="45" spans="1:11" x14ac:dyDescent="0.3">
      <c r="A45" s="9" t="s">
        <v>271</v>
      </c>
      <c r="B45" s="31" t="s">
        <v>277</v>
      </c>
      <c r="C45" s="78">
        <f>C39*C$23</f>
        <v>54.964285714285715</v>
      </c>
      <c r="D45" s="78">
        <f t="shared" ref="D45:H46" si="10">D39*D$23</f>
        <v>948.6</v>
      </c>
      <c r="E45" s="78">
        <f t="shared" si="10"/>
        <v>48000</v>
      </c>
      <c r="F45" s="78">
        <f t="shared" si="10"/>
        <v>148400</v>
      </c>
      <c r="G45" s="78">
        <f t="shared" si="10"/>
        <v>501500</v>
      </c>
      <c r="H45" s="78">
        <f t="shared" si="10"/>
        <v>829600</v>
      </c>
      <c r="J45" s="83">
        <v>1000000</v>
      </c>
      <c r="K45" s="49" t="s">
        <v>284</v>
      </c>
    </row>
    <row r="46" spans="1:11" x14ac:dyDescent="0.3">
      <c r="A46" s="9" t="s">
        <v>272</v>
      </c>
      <c r="B46" s="31" t="s">
        <v>278</v>
      </c>
      <c r="C46" s="78">
        <f>C40*C$23</f>
        <v>10.992857142857144</v>
      </c>
      <c r="D46" s="78">
        <f t="shared" si="10"/>
        <v>167.4</v>
      </c>
      <c r="E46" s="78">
        <f t="shared" si="10"/>
        <v>2400</v>
      </c>
      <c r="F46" s="78">
        <f t="shared" si="10"/>
        <v>6360</v>
      </c>
      <c r="G46" s="78">
        <f t="shared" si="10"/>
        <v>29500</v>
      </c>
      <c r="H46" s="78">
        <f t="shared" si="10"/>
        <v>48800</v>
      </c>
      <c r="J46" s="83">
        <v>250000</v>
      </c>
      <c r="K46" s="49" t="s">
        <v>285</v>
      </c>
    </row>
    <row r="47" spans="1:11" x14ac:dyDescent="0.3">
      <c r="A47" s="9" t="s">
        <v>273</v>
      </c>
      <c r="B47" s="31" t="s">
        <v>279</v>
      </c>
      <c r="C47" s="78">
        <f t="shared" ref="C47:H49" si="11">C41*C$23</f>
        <v>36.642857142857146</v>
      </c>
      <c r="D47" s="78">
        <f t="shared" si="11"/>
        <v>558</v>
      </c>
      <c r="E47" s="78">
        <f t="shared" si="11"/>
        <v>4800</v>
      </c>
      <c r="F47" s="78">
        <f t="shared" si="11"/>
        <v>8480</v>
      </c>
      <c r="G47" s="78">
        <f t="shared" si="11"/>
        <v>11800</v>
      </c>
      <c r="H47" s="78">
        <f t="shared" si="11"/>
        <v>19520</v>
      </c>
      <c r="J47" s="83"/>
      <c r="K47" s="49"/>
    </row>
    <row r="48" spans="1:11" x14ac:dyDescent="0.3">
      <c r="A48" s="9"/>
      <c r="B48" s="31" t="s">
        <v>280</v>
      </c>
      <c r="C48" s="78">
        <f t="shared" si="11"/>
        <v>238.17857142857144</v>
      </c>
      <c r="D48" s="78">
        <f t="shared" si="11"/>
        <v>3571.2000000000003</v>
      </c>
      <c r="E48" s="78">
        <f t="shared" si="11"/>
        <v>20000</v>
      </c>
      <c r="F48" s="78">
        <f t="shared" si="11"/>
        <v>38160</v>
      </c>
      <c r="G48" s="78">
        <f t="shared" si="11"/>
        <v>29500</v>
      </c>
      <c r="H48" s="78">
        <f t="shared" si="11"/>
        <v>48800</v>
      </c>
      <c r="J48" s="83">
        <v>890000</v>
      </c>
      <c r="K48" s="49" t="s">
        <v>286</v>
      </c>
    </row>
    <row r="49" spans="1:11" x14ac:dyDescent="0.3">
      <c r="A49" s="9"/>
      <c r="B49" s="31" t="s">
        <v>281</v>
      </c>
      <c r="C49" s="78">
        <f>C43*C$23</f>
        <v>25.649999999999984</v>
      </c>
      <c r="D49" s="78">
        <f t="shared" si="11"/>
        <v>334.79999999999967</v>
      </c>
      <c r="E49" s="78">
        <f t="shared" si="11"/>
        <v>4800.0000000000045</v>
      </c>
      <c r="F49" s="78">
        <f t="shared" si="11"/>
        <v>10600.000000000009</v>
      </c>
      <c r="G49" s="78">
        <f t="shared" si="11"/>
        <v>17699.999999999949</v>
      </c>
      <c r="H49" s="78">
        <f>H43*H$23</f>
        <v>29279.999999999916</v>
      </c>
      <c r="J49" s="83">
        <v>1080000</v>
      </c>
      <c r="K49" s="49" t="s">
        <v>287</v>
      </c>
    </row>
    <row r="50" spans="1:11" x14ac:dyDescent="0.3">
      <c r="B50" s="28"/>
    </row>
    <row r="51" spans="1:11" x14ac:dyDescent="0.3">
      <c r="B51" t="s">
        <v>177</v>
      </c>
      <c r="C51" s="30">
        <f>-C17*C22*C39</f>
        <v>-135418.25892857145</v>
      </c>
      <c r="D51" s="30">
        <f t="shared" ref="D51:H51" si="12">-D17*D22*D39</f>
        <v>-2337113.25</v>
      </c>
      <c r="E51" s="30">
        <f t="shared" si="12"/>
        <v>-157680000</v>
      </c>
      <c r="F51" s="30">
        <f t="shared" si="12"/>
        <v>-487493999.99999994</v>
      </c>
      <c r="G51" s="30">
        <f>-G17*G22*G39</f>
        <v>-2013522500</v>
      </c>
      <c r="H51" s="30">
        <f t="shared" si="12"/>
        <v>-3330844000</v>
      </c>
      <c r="I51" s="30"/>
    </row>
    <row r="52" spans="1:11" x14ac:dyDescent="0.3">
      <c r="A52" s="24"/>
      <c r="B52" t="s">
        <v>144</v>
      </c>
      <c r="C52" s="36">
        <v>1.5</v>
      </c>
      <c r="D52" s="36">
        <v>1.5</v>
      </c>
      <c r="E52" s="36">
        <v>1.5</v>
      </c>
      <c r="F52" s="36">
        <v>1.5</v>
      </c>
      <c r="G52" s="36">
        <v>1.5</v>
      </c>
      <c r="H52" s="36">
        <v>1.5</v>
      </c>
      <c r="J52" t="s">
        <v>167</v>
      </c>
    </row>
    <row r="53" spans="1:11" x14ac:dyDescent="0.3">
      <c r="B53" t="s">
        <v>178</v>
      </c>
      <c r="C53" s="30">
        <f t="shared" ref="C53:H53" si="13">-C17*C22*C41*C52</f>
        <v>-135418.25892857145</v>
      </c>
      <c r="D53" s="30">
        <f t="shared" si="13"/>
        <v>-2062158.75</v>
      </c>
      <c r="E53" s="30">
        <f t="shared" si="13"/>
        <v>-23652000</v>
      </c>
      <c r="F53" s="30">
        <f t="shared" si="13"/>
        <v>-41785200</v>
      </c>
      <c r="G53" s="30">
        <f t="shared" si="13"/>
        <v>-71065500</v>
      </c>
      <c r="H53" s="30">
        <f t="shared" si="13"/>
        <v>-117559200</v>
      </c>
    </row>
    <row r="54" spans="1:11" x14ac:dyDescent="0.3">
      <c r="C54" s="30"/>
      <c r="D54" s="30"/>
      <c r="E54" s="30"/>
      <c r="F54" s="30"/>
      <c r="G54" s="30"/>
      <c r="H54" s="30"/>
    </row>
    <row r="55" spans="1:11" x14ac:dyDescent="0.3">
      <c r="B55" s="80" t="s">
        <v>385</v>
      </c>
      <c r="C55" s="30"/>
      <c r="D55" s="30"/>
      <c r="E55" s="30"/>
      <c r="F55" s="30"/>
      <c r="G55" s="30"/>
      <c r="H55" s="30"/>
    </row>
    <row r="56" spans="1:11" x14ac:dyDescent="0.3">
      <c r="B56" s="22" t="s">
        <v>329</v>
      </c>
      <c r="C56" s="30"/>
      <c r="D56" s="30"/>
      <c r="E56" s="30"/>
      <c r="F56" s="30"/>
      <c r="G56" s="30"/>
      <c r="H56" s="30"/>
    </row>
    <row r="57" spans="1:11" ht="28.8" x14ac:dyDescent="0.3">
      <c r="A57" s="89"/>
      <c r="B57" s="103" t="s">
        <v>156</v>
      </c>
      <c r="C57" s="102">
        <v>0</v>
      </c>
      <c r="D57" s="102">
        <v>0.1</v>
      </c>
      <c r="E57" s="102">
        <v>0.1</v>
      </c>
      <c r="F57" s="102">
        <v>0.1</v>
      </c>
      <c r="G57" s="102">
        <v>0.05</v>
      </c>
      <c r="H57" s="102">
        <v>0.05</v>
      </c>
      <c r="I57" s="37"/>
      <c r="J57" s="49" t="s">
        <v>288</v>
      </c>
      <c r="K57" s="37"/>
    </row>
    <row r="58" spans="1:11" x14ac:dyDescent="0.3">
      <c r="B58" t="s">
        <v>289</v>
      </c>
      <c r="C58" s="30">
        <f>-C57*C51</f>
        <v>0</v>
      </c>
      <c r="D58" s="30">
        <f>-D57*D51</f>
        <v>233711.32500000001</v>
      </c>
      <c r="E58" s="30">
        <f t="shared" ref="E58:F58" si="14">-E57*E51</f>
        <v>15768000</v>
      </c>
      <c r="F58" s="30">
        <f t="shared" si="14"/>
        <v>48749400</v>
      </c>
      <c r="G58" s="30">
        <f>-G57*G51</f>
        <v>100676125</v>
      </c>
      <c r="H58" s="30">
        <f>-H57*H51</f>
        <v>166542200</v>
      </c>
      <c r="J58" t="s">
        <v>408</v>
      </c>
    </row>
    <row r="60" spans="1:11" x14ac:dyDescent="0.3">
      <c r="B60" s="116" t="s">
        <v>176</v>
      </c>
      <c r="C60" s="117">
        <f t="shared" ref="C60:H60" si="15">C26+C51+C53+C58</f>
        <v>677091.29464285716</v>
      </c>
      <c r="D60" s="117">
        <f t="shared" si="15"/>
        <v>8757300.8249999993</v>
      </c>
      <c r="E60" s="117">
        <f t="shared" si="15"/>
        <v>52560000</v>
      </c>
      <c r="F60" s="117">
        <f t="shared" si="15"/>
        <v>13928400.00000006</v>
      </c>
      <c r="G60" s="117">
        <f t="shared" si="15"/>
        <v>-704732875</v>
      </c>
      <c r="H60" s="117">
        <f t="shared" si="15"/>
        <v>-1322541000</v>
      </c>
      <c r="J60" t="s">
        <v>157</v>
      </c>
    </row>
    <row r="62" spans="1:11" x14ac:dyDescent="0.3">
      <c r="A62" s="21"/>
      <c r="B62" s="131" t="s">
        <v>475</v>
      </c>
      <c r="C62" s="21"/>
      <c r="D62" s="21"/>
      <c r="E62" s="21"/>
      <c r="F62" s="21"/>
      <c r="G62" s="21"/>
      <c r="H62" s="21"/>
    </row>
    <row r="64" spans="1:11" x14ac:dyDescent="0.3">
      <c r="B64" s="58" t="s">
        <v>63</v>
      </c>
    </row>
    <row r="65" spans="2:8" x14ac:dyDescent="0.3">
      <c r="B65" s="3" t="s">
        <v>528</v>
      </c>
      <c r="C65" s="15">
        <f>(C51+C58)*Lähtöarvot!$B$102</f>
        <v>-9162.9952394464308</v>
      </c>
      <c r="D65" s="15">
        <f>(D51+D58)*Lähtöarvot!$B$102</f>
        <v>-142325.42921397</v>
      </c>
      <c r="E65" s="15">
        <f>(E51+E58)*Lähtöarvot!$B$102</f>
        <v>-9602390.332799999</v>
      </c>
      <c r="F65" s="15">
        <f>(F51+F58)*Lähtöarvot!$B$102</f>
        <v>-29687390.112239994</v>
      </c>
      <c r="G65" s="15">
        <f>(G51+G58)*Lähtöarvot!$B$102</f>
        <v>-129431602.25655</v>
      </c>
      <c r="H65" s="15">
        <f>(H51+H58)*Lähtöarvot!$B$102</f>
        <v>-214110582.71592</v>
      </c>
    </row>
    <row r="66" spans="2:8" x14ac:dyDescent="0.3">
      <c r="B66" s="3" t="s">
        <v>529</v>
      </c>
      <c r="C66" s="15">
        <f>C53*Lähtöarvot!$B$104</f>
        <v>-5131.2773340900003</v>
      </c>
      <c r="D66" s="15">
        <f>D53*Lähtöarvot!$B$104</f>
        <v>-78139.451333159988</v>
      </c>
      <c r="E66" s="15">
        <f>E53*Lähtöarvot!$B$104</f>
        <v>-896223.09772799991</v>
      </c>
      <c r="F66" s="15">
        <f>F53*Lähtöarvot!$B$104</f>
        <v>-1583327.4726527999</v>
      </c>
      <c r="G66" s="15">
        <f>G53*Lähtöarvot!$B$104</f>
        <v>-2692818.4741919995</v>
      </c>
      <c r="H66" s="15">
        <f>H53*Lähtöarvot!$B$104</f>
        <v>-4454560.7301887991</v>
      </c>
    </row>
    <row r="67" spans="2:8" x14ac:dyDescent="0.3">
      <c r="B67" s="3" t="s">
        <v>530</v>
      </c>
      <c r="C67" s="15">
        <f>C26*Lähtöarvot!$B$104</f>
        <v>35918.94133863</v>
      </c>
      <c r="D67" s="15">
        <f>D26*Lähtöarvot!$B$104</f>
        <v>489673.89502113598</v>
      </c>
      <c r="E67" s="15">
        <f>E26*Lähtöarvot!$B$104</f>
        <v>8265168.5679359995</v>
      </c>
      <c r="F67" s="15">
        <f>F26*Lähtöarvot!$B$104</f>
        <v>18736041.7597248</v>
      </c>
      <c r="G67" s="15">
        <f>G26*Lähtöarvot!$B$104</f>
        <v>48470732.535455994</v>
      </c>
      <c r="H67" s="15">
        <f>H26*Lähtöarvot!$B$104</f>
        <v>74242678.836479992</v>
      </c>
    </row>
    <row r="68" spans="2:8" x14ac:dyDescent="0.3">
      <c r="B68" s="3" t="s">
        <v>492</v>
      </c>
      <c r="C68" s="15">
        <f>-C22*C39*Lähtöarvot!$C$69</f>
        <v>-161.0957275135714</v>
      </c>
      <c r="D68" s="15">
        <f>-D22*D39*Lähtöarvot!$C$69</f>
        <v>-2780.2673160119998</v>
      </c>
      <c r="E68" s="15">
        <f>-E22*E39*Lähtöarvot!$C$69</f>
        <v>-140683.98815999998</v>
      </c>
      <c r="F68" s="15">
        <f>-F22*F39*Lähtöarvot!$C$69</f>
        <v>-434947.99672799994</v>
      </c>
      <c r="G68" s="15">
        <f>-G22*G39*Lähtöarvot!$C$69</f>
        <v>-1469854.5846299997</v>
      </c>
      <c r="H68" s="15">
        <f>-H22*H39*Lähtöarvot!$C$69</f>
        <v>-2431488.2620319994</v>
      </c>
    </row>
    <row r="69" spans="2:8" x14ac:dyDescent="0.3">
      <c r="B69" s="3" t="s">
        <v>495</v>
      </c>
      <c r="C69" s="15">
        <f>SUM(C65:C68)</f>
        <v>21463.573037580001</v>
      </c>
      <c r="D69" s="15">
        <f t="shared" ref="D69:H69" si="16">SUM(D65:D68)</f>
        <v>266428.74715799402</v>
      </c>
      <c r="E69" s="15">
        <f t="shared" si="16"/>
        <v>-2374128.8507519988</v>
      </c>
      <c r="F69" s="15">
        <f t="shared" si="16"/>
        <v>-12969623.821895994</v>
      </c>
      <c r="G69" s="15">
        <f t="shared" si="16"/>
        <v>-85123542.779916003</v>
      </c>
      <c r="H69" s="15">
        <f t="shared" si="16"/>
        <v>-146753952.8716608</v>
      </c>
    </row>
    <row r="71" spans="2:8" x14ac:dyDescent="0.3">
      <c r="B71" s="58" t="s">
        <v>81</v>
      </c>
    </row>
    <row r="72" spans="2:8" x14ac:dyDescent="0.3">
      <c r="B72" t="s">
        <v>133</v>
      </c>
      <c r="C72" s="15">
        <f t="shared" ref="C72:H72" si="17">C26</f>
        <v>947927.81250000012</v>
      </c>
      <c r="D72" s="15">
        <f t="shared" si="17"/>
        <v>12922861.5</v>
      </c>
      <c r="E72" s="15">
        <f t="shared" si="17"/>
        <v>218124000</v>
      </c>
      <c r="F72" s="15">
        <f t="shared" si="17"/>
        <v>494458200</v>
      </c>
      <c r="G72" s="15">
        <f t="shared" si="17"/>
        <v>1279179000</v>
      </c>
      <c r="H72" s="15">
        <f t="shared" si="17"/>
        <v>1959320000</v>
      </c>
    </row>
    <row r="73" spans="2:8" x14ac:dyDescent="0.3">
      <c r="B73" t="s">
        <v>159</v>
      </c>
      <c r="C73" s="15">
        <f t="shared" ref="C73:H73" si="18">C51+C53+C58</f>
        <v>-270836.5178571429</v>
      </c>
      <c r="D73" s="15">
        <f t="shared" si="18"/>
        <v>-4165560.6749999998</v>
      </c>
      <c r="E73" s="15">
        <f t="shared" si="18"/>
        <v>-165564000</v>
      </c>
      <c r="F73" s="15">
        <f t="shared" si="18"/>
        <v>-480529799.99999994</v>
      </c>
      <c r="G73" s="15">
        <f t="shared" si="18"/>
        <v>-1983911875</v>
      </c>
      <c r="H73" s="15">
        <f t="shared" si="18"/>
        <v>-3281861000</v>
      </c>
    </row>
    <row r="74" spans="2:8" x14ac:dyDescent="0.3">
      <c r="B74" t="s">
        <v>171</v>
      </c>
      <c r="C74" s="15">
        <f>C72*Lähtöarvot!$M$130</f>
        <v>15576.43986814219</v>
      </c>
      <c r="D74" s="15">
        <f>D72*Lähtöarvot!$M$130</f>
        <v>212349.68783984252</v>
      </c>
      <c r="E74" s="15">
        <f>E72*Lähtöarvot!$M$130</f>
        <v>3584234.2897800002</v>
      </c>
      <c r="F74" s="15">
        <f>F72*Lähtöarvot!$M$130</f>
        <v>8124984.1159290001</v>
      </c>
      <c r="G74" s="15">
        <f>G72*Lähtöarvot!$M$130</f>
        <v>21019590.850005001</v>
      </c>
      <c r="H74" s="15">
        <f>H72*Lähtöarvot!$M$130</f>
        <v>32195732.375400003</v>
      </c>
    </row>
    <row r="75" spans="2:8" x14ac:dyDescent="0.3">
      <c r="B75" t="s">
        <v>172</v>
      </c>
      <c r="C75" s="15">
        <f>C73*Lähtöarvot!$M$119</f>
        <v>-2393.4418923375001</v>
      </c>
      <c r="D75" s="15">
        <f>D73*Lähtöarvot!$M$119</f>
        <v>-36811.976108323499</v>
      </c>
      <c r="E75" s="15">
        <f>E73*Lähtöarvot!$M$119</f>
        <v>-1463125.49208</v>
      </c>
      <c r="F75" s="15">
        <f>F73*Lähtöarvot!$M$119</f>
        <v>-4246547.5591559997</v>
      </c>
      <c r="G75" s="15">
        <f>G73*Lähtöarvot!$M$119</f>
        <v>-17532265.699987501</v>
      </c>
      <c r="H75" s="15">
        <f>H73*Lähtöarvot!$M$119</f>
        <v>-29002527.666419998</v>
      </c>
    </row>
    <row r="76" spans="2:8" x14ac:dyDescent="0.3">
      <c r="B76" t="s">
        <v>170</v>
      </c>
      <c r="C76" s="15">
        <f>C74+C75</f>
        <v>13182.99797580469</v>
      </c>
      <c r="D76" s="15">
        <f t="shared" ref="D76:H76" si="19">D74+D75</f>
        <v>175537.71173151903</v>
      </c>
      <c r="E76" s="15">
        <f t="shared" si="19"/>
        <v>2121108.7977</v>
      </c>
      <c r="F76" s="15">
        <f t="shared" si="19"/>
        <v>3878436.5567730004</v>
      </c>
      <c r="G76" s="15">
        <f t="shared" si="19"/>
        <v>3487325.1500174999</v>
      </c>
      <c r="H76" s="15">
        <f t="shared" si="19"/>
        <v>3193204.7089800052</v>
      </c>
    </row>
    <row r="77" spans="2:8" x14ac:dyDescent="0.3">
      <c r="C77" s="15"/>
      <c r="D77" s="15"/>
      <c r="E77" s="15"/>
      <c r="F77" s="15"/>
      <c r="G77" s="15"/>
      <c r="H77" s="15"/>
    </row>
    <row r="78" spans="2:8" x14ac:dyDescent="0.3">
      <c r="B78" s="58" t="s">
        <v>98</v>
      </c>
      <c r="C78" s="15"/>
      <c r="D78" s="15"/>
      <c r="E78" s="15"/>
      <c r="F78" s="15"/>
      <c r="G78" s="15"/>
      <c r="H78" s="15"/>
    </row>
    <row r="79" spans="2:8" x14ac:dyDescent="0.3">
      <c r="B79" t="s">
        <v>175</v>
      </c>
      <c r="C79" s="15">
        <f>C60*Lähtöarvot!$E$124</f>
        <v>1421.8917187499999</v>
      </c>
      <c r="D79" s="15">
        <f>D60*Lähtöarvot!$E$124</f>
        <v>18390.331732499999</v>
      </c>
      <c r="E79" s="15">
        <f>E60*Lähtöarvot!$E$124</f>
        <v>110376</v>
      </c>
      <c r="F79" s="15">
        <f>F60*Lähtöarvot!$E$124</f>
        <v>29249.640000000123</v>
      </c>
      <c r="G79" s="15">
        <f>G60*Lähtöarvot!$E$124</f>
        <v>-1479939.0374999999</v>
      </c>
      <c r="H79" s="15">
        <f>H60*Lähtöarvot!$E$124</f>
        <v>-2777336.0999999996</v>
      </c>
    </row>
    <row r="81" spans="1:13" x14ac:dyDescent="0.3">
      <c r="B81" s="62" t="s">
        <v>179</v>
      </c>
    </row>
    <row r="82" spans="1:13" ht="15" customHeight="1" x14ac:dyDescent="0.3">
      <c r="B82" s="115" t="s">
        <v>247</v>
      </c>
      <c r="C82" s="6"/>
      <c r="D82" s="6"/>
      <c r="E82" s="6"/>
      <c r="F82" s="6"/>
      <c r="G82" s="6"/>
      <c r="H82" s="6"/>
      <c r="J82" t="s">
        <v>194</v>
      </c>
    </row>
    <row r="83" spans="1:13" ht="15" customHeight="1" x14ac:dyDescent="0.3">
      <c r="B83" s="115" t="s">
        <v>442</v>
      </c>
      <c r="C83" s="6"/>
      <c r="D83" s="6"/>
      <c r="E83" s="6"/>
      <c r="F83" s="6"/>
      <c r="G83" s="6"/>
      <c r="H83" s="6"/>
      <c r="J83" t="s">
        <v>195</v>
      </c>
    </row>
    <row r="84" spans="1:13" ht="15" customHeight="1" x14ac:dyDescent="0.3">
      <c r="B84" s="115" t="s">
        <v>443</v>
      </c>
      <c r="C84" s="6"/>
      <c r="D84" s="6"/>
      <c r="E84" s="6"/>
      <c r="F84" s="6"/>
      <c r="G84" s="6"/>
      <c r="H84" s="6"/>
      <c r="J84" t="s">
        <v>193</v>
      </c>
      <c r="M84" s="45">
        <f>420000/(1100000/1000)</f>
        <v>381.81818181818181</v>
      </c>
    </row>
    <row r="85" spans="1:13" x14ac:dyDescent="0.3">
      <c r="B85" s="85" t="s">
        <v>250</v>
      </c>
      <c r="C85" s="86"/>
      <c r="D85" s="86"/>
      <c r="E85" s="86"/>
      <c r="F85" s="86"/>
      <c r="G85" s="86"/>
      <c r="H85" s="86"/>
    </row>
    <row r="86" spans="1:13" x14ac:dyDescent="0.3">
      <c r="A86" s="89"/>
      <c r="B86" s="81" t="s">
        <v>230</v>
      </c>
      <c r="C86" s="91">
        <v>0.1</v>
      </c>
      <c r="D86" s="92">
        <v>1</v>
      </c>
      <c r="E86" s="92">
        <v>5</v>
      </c>
      <c r="F86" s="92">
        <v>10</v>
      </c>
      <c r="G86" s="92">
        <v>15</v>
      </c>
      <c r="H86" s="92">
        <v>20</v>
      </c>
    </row>
    <row r="87" spans="1:13" x14ac:dyDescent="0.3">
      <c r="B87" s="81" t="s">
        <v>231</v>
      </c>
      <c r="C87" s="81">
        <f t="shared" ref="C87:H87" si="20">C86*(1100000/1000)</f>
        <v>110</v>
      </c>
      <c r="D87" s="81">
        <f t="shared" si="20"/>
        <v>1100</v>
      </c>
      <c r="E87" s="81">
        <f t="shared" si="20"/>
        <v>5500</v>
      </c>
      <c r="F87" s="81">
        <f t="shared" si="20"/>
        <v>11000</v>
      </c>
      <c r="G87" s="81">
        <f t="shared" si="20"/>
        <v>16500</v>
      </c>
      <c r="H87" s="81">
        <f t="shared" si="20"/>
        <v>22000</v>
      </c>
    </row>
    <row r="88" spans="1:13" x14ac:dyDescent="0.3">
      <c r="B88" s="81" t="s">
        <v>192</v>
      </c>
      <c r="C88" s="84">
        <f>-(C87-C16)*Lähtöarvot!$E$175</f>
        <v>-114000</v>
      </c>
      <c r="D88" s="84">
        <f>-(D87-D16)*Lähtöarvot!$E$175</f>
        <v>-1200000</v>
      </c>
      <c r="E88" s="84">
        <f>-(E87-E16)*Lähtöarvot!$E$175</f>
        <v>-5400000</v>
      </c>
      <c r="F88" s="84">
        <f>-(F87-F16)*Lähtöarvot!$E$175</f>
        <v>-10800000</v>
      </c>
      <c r="G88" s="84">
        <f>-(G87-G16)*Lähtöarvot!$E$175</f>
        <v>-13800000</v>
      </c>
      <c r="H88" s="84">
        <f>-(H87-H16)*Lähtöarvot!$E$175</f>
        <v>-16800000</v>
      </c>
      <c r="J88" t="s">
        <v>405</v>
      </c>
    </row>
    <row r="89" spans="1:13" x14ac:dyDescent="0.3">
      <c r="B89" s="79" t="s">
        <v>232</v>
      </c>
      <c r="C89" s="83"/>
      <c r="D89" s="83"/>
      <c r="E89" s="83"/>
      <c r="F89" s="83"/>
      <c r="G89" s="83"/>
      <c r="H89" s="83"/>
      <c r="J89" t="s">
        <v>406</v>
      </c>
    </row>
    <row r="90" spans="1:13" x14ac:dyDescent="0.3">
      <c r="A90" s="89"/>
      <c r="B90" s="49" t="s">
        <v>233</v>
      </c>
      <c r="C90" s="90">
        <v>5</v>
      </c>
      <c r="D90" s="90">
        <v>5</v>
      </c>
      <c r="E90" s="90">
        <v>10</v>
      </c>
      <c r="F90" s="90">
        <v>10</v>
      </c>
      <c r="G90" s="90">
        <v>15</v>
      </c>
      <c r="H90" s="90">
        <v>15</v>
      </c>
    </row>
    <row r="91" spans="1:13" x14ac:dyDescent="0.3">
      <c r="B91" s="49" t="s">
        <v>404</v>
      </c>
      <c r="C91" s="49">
        <f t="shared" ref="C91:H91" si="21">C16*C90</f>
        <v>75</v>
      </c>
      <c r="D91" s="49">
        <f t="shared" si="21"/>
        <v>500</v>
      </c>
      <c r="E91" s="49">
        <f t="shared" si="21"/>
        <v>10000</v>
      </c>
      <c r="F91" s="49">
        <f t="shared" si="21"/>
        <v>20000</v>
      </c>
      <c r="G91" s="49">
        <f t="shared" si="21"/>
        <v>75000</v>
      </c>
      <c r="H91" s="49">
        <f t="shared" si="21"/>
        <v>120000</v>
      </c>
    </row>
    <row r="92" spans="1:13" x14ac:dyDescent="0.3">
      <c r="B92" s="49" t="s">
        <v>192</v>
      </c>
      <c r="C92" s="83">
        <f>-(C91-C16)*Lähtöarvot!$E$175</f>
        <v>-72000</v>
      </c>
      <c r="D92" s="83">
        <f>-(D91-D16)*Lähtöarvot!$E$175</f>
        <v>-480000</v>
      </c>
      <c r="E92" s="83">
        <f>-(E91-E16)*Lähtöarvot!$E$175</f>
        <v>-10800000</v>
      </c>
      <c r="F92" s="83">
        <f>-(F91-F16)*Lähtöarvot!$E$175</f>
        <v>-21600000</v>
      </c>
      <c r="G92" s="83">
        <f>-(G91-G16)*Lähtöarvot!$E$175</f>
        <v>-84000000</v>
      </c>
      <c r="H92" s="83">
        <f>-(H91-H16)*Lähtöarvot!$E$175</f>
        <v>-134400000</v>
      </c>
      <c r="J92" t="s">
        <v>405</v>
      </c>
    </row>
    <row r="93" spans="1:13" x14ac:dyDescent="0.3">
      <c r="B93" s="49"/>
      <c r="C93" s="83"/>
      <c r="D93" s="83"/>
      <c r="E93" s="83"/>
      <c r="F93" s="83"/>
      <c r="G93" s="83"/>
      <c r="H93" s="83"/>
      <c r="J93" t="s">
        <v>406</v>
      </c>
    </row>
    <row r="94" spans="1:13" x14ac:dyDescent="0.3">
      <c r="B94" s="80" t="s">
        <v>441</v>
      </c>
      <c r="C94" s="83"/>
      <c r="D94" s="83"/>
      <c r="E94" s="83"/>
      <c r="F94" s="83"/>
      <c r="G94" s="83"/>
      <c r="H94" s="83"/>
    </row>
    <row r="95" spans="1:13" x14ac:dyDescent="0.3">
      <c r="B95" s="79" t="s">
        <v>446</v>
      </c>
      <c r="C95" s="83"/>
      <c r="D95" s="83"/>
      <c r="E95" s="83"/>
      <c r="F95" s="83"/>
      <c r="G95" s="83"/>
      <c r="H95" s="83"/>
    </row>
    <row r="96" spans="1:13" x14ac:dyDescent="0.3">
      <c r="B96" s="79" t="s">
        <v>473</v>
      </c>
      <c r="C96" s="83"/>
      <c r="D96" s="83"/>
      <c r="E96" s="83"/>
      <c r="F96" s="83"/>
      <c r="G96" s="83"/>
      <c r="H96" s="83"/>
    </row>
    <row r="97" spans="1:10" x14ac:dyDescent="0.3">
      <c r="B97" s="49" t="s">
        <v>447</v>
      </c>
      <c r="C97" s="78">
        <f>-(C91-C16)*2*Lähtöarvot!$D$185*Lähtöarvot!$D$196/10</f>
        <v>-28800</v>
      </c>
      <c r="D97" s="78">
        <f>-(D91-D16)*2*Lähtöarvot!$D$185*Lähtöarvot!$D$196/10</f>
        <v>-192000</v>
      </c>
      <c r="E97" s="78">
        <f>-(E91-E16)*2*Lähtöarvot!$D$185*Lähtöarvot!$D$196/10</f>
        <v>-4320000</v>
      </c>
      <c r="F97" s="78">
        <f>-(F91-F16)*2*Lähtöarvot!$D$185*Lähtöarvot!$D$196/10</f>
        <v>-8640000</v>
      </c>
      <c r="G97" s="78">
        <f>-(G91-G16)*2*Lähtöarvot!$D$185*Lähtöarvot!$D$196/10</f>
        <v>-33600000</v>
      </c>
      <c r="H97" s="78">
        <f>-(H91-H16)*2*Lähtöarvot!$D$185*Lähtöarvot!$D$196/10</f>
        <v>-53760000</v>
      </c>
    </row>
    <row r="98" spans="1:10" x14ac:dyDescent="0.3">
      <c r="C98" s="15"/>
      <c r="D98" s="15"/>
      <c r="E98" s="15"/>
      <c r="F98" s="15"/>
      <c r="G98" s="15"/>
      <c r="H98" s="15"/>
    </row>
    <row r="99" spans="1:10" x14ac:dyDescent="0.3">
      <c r="B99" s="58" t="s">
        <v>200</v>
      </c>
      <c r="C99" s="15"/>
      <c r="D99" s="15"/>
      <c r="E99" s="15"/>
      <c r="F99" s="15"/>
      <c r="G99" s="15"/>
      <c r="H99" s="15"/>
    </row>
    <row r="100" spans="1:10" x14ac:dyDescent="0.3">
      <c r="A100" s="24"/>
      <c r="B100" s="3" t="s">
        <v>462</v>
      </c>
      <c r="C100" s="43">
        <v>0.5</v>
      </c>
      <c r="D100" s="43">
        <v>0.5</v>
      </c>
      <c r="E100" s="43">
        <v>0.5</v>
      </c>
      <c r="F100" s="43">
        <v>0.5</v>
      </c>
      <c r="G100" s="43">
        <v>0.5</v>
      </c>
      <c r="H100" s="43">
        <v>0.5</v>
      </c>
    </row>
    <row r="101" spans="1:10" x14ac:dyDescent="0.3">
      <c r="A101" s="28"/>
      <c r="B101" s="3" t="s">
        <v>201</v>
      </c>
      <c r="C101" s="42">
        <f>1-C100</f>
        <v>0.5</v>
      </c>
      <c r="D101" s="42">
        <f t="shared" ref="D101:H101" si="22">1-D100</f>
        <v>0.5</v>
      </c>
      <c r="E101" s="42">
        <f t="shared" si="22"/>
        <v>0.5</v>
      </c>
      <c r="F101" s="42">
        <f t="shared" si="22"/>
        <v>0.5</v>
      </c>
      <c r="G101" s="42">
        <f t="shared" si="22"/>
        <v>0.5</v>
      </c>
      <c r="H101" s="42">
        <f t="shared" si="22"/>
        <v>0.5</v>
      </c>
    </row>
    <row r="102" spans="1:10" x14ac:dyDescent="0.3">
      <c r="A102" s="28"/>
      <c r="B102" s="22" t="s">
        <v>477</v>
      </c>
      <c r="C102" s="42"/>
      <c r="D102" s="42"/>
      <c r="E102" s="42"/>
      <c r="F102" s="42"/>
      <c r="G102" s="42"/>
      <c r="H102" s="42"/>
    </row>
    <row r="103" spans="1:10" x14ac:dyDescent="0.3">
      <c r="A103" s="89"/>
      <c r="B103" s="3" t="s">
        <v>202</v>
      </c>
      <c r="C103" s="93">
        <v>0.3</v>
      </c>
      <c r="D103" s="93">
        <v>0.3</v>
      </c>
      <c r="E103" s="93">
        <v>0.4</v>
      </c>
      <c r="F103" s="93">
        <v>0.45</v>
      </c>
      <c r="G103" s="93">
        <v>0.55000000000000004</v>
      </c>
      <c r="H103" s="93">
        <v>0.6</v>
      </c>
      <c r="J103" t="s">
        <v>203</v>
      </c>
    </row>
    <row r="104" spans="1:10" x14ac:dyDescent="0.3">
      <c r="A104" s="89"/>
      <c r="B104" s="3" t="s">
        <v>204</v>
      </c>
      <c r="C104" s="93">
        <v>0.1</v>
      </c>
      <c r="D104" s="93">
        <v>0.1</v>
      </c>
      <c r="E104" s="93">
        <v>0.2</v>
      </c>
      <c r="F104" s="93">
        <v>0.2</v>
      </c>
      <c r="G104" s="93">
        <v>0.25</v>
      </c>
      <c r="H104" s="93">
        <v>0.25</v>
      </c>
    </row>
    <row r="105" spans="1:10" x14ac:dyDescent="0.3">
      <c r="B105" s="3" t="s">
        <v>205</v>
      </c>
      <c r="C105" s="44">
        <f t="shared" ref="C105:H105" si="23">C17/30</f>
        <v>0.22500000000000001</v>
      </c>
      <c r="D105" s="44">
        <f t="shared" si="23"/>
        <v>0.22500000000000001</v>
      </c>
      <c r="E105" s="44">
        <f t="shared" si="23"/>
        <v>0.3</v>
      </c>
      <c r="F105" s="44">
        <f t="shared" si="23"/>
        <v>0.3</v>
      </c>
      <c r="G105" s="44">
        <f t="shared" si="23"/>
        <v>0.36666666666666664</v>
      </c>
      <c r="H105" s="44">
        <f t="shared" si="23"/>
        <v>0.36666666666666664</v>
      </c>
      <c r="J105" t="s">
        <v>467</v>
      </c>
    </row>
    <row r="106" spans="1:10" x14ac:dyDescent="0.3">
      <c r="A106" s="9" t="s">
        <v>136</v>
      </c>
      <c r="B106" s="9" t="s">
        <v>252</v>
      </c>
      <c r="C106" s="82">
        <f>C105*60</f>
        <v>13.5</v>
      </c>
      <c r="D106" s="82">
        <f t="shared" ref="D106:H106" si="24">D105*60</f>
        <v>13.5</v>
      </c>
      <c r="E106" s="82">
        <f t="shared" si="24"/>
        <v>18</v>
      </c>
      <c r="F106" s="82">
        <f t="shared" si="24"/>
        <v>18</v>
      </c>
      <c r="G106" s="82">
        <f t="shared" si="24"/>
        <v>22</v>
      </c>
      <c r="H106" s="82">
        <f t="shared" si="24"/>
        <v>22</v>
      </c>
    </row>
    <row r="107" spans="1:10" x14ac:dyDescent="0.3">
      <c r="B107" s="28" t="s">
        <v>132</v>
      </c>
      <c r="C107" s="15">
        <f t="shared" ref="C107:H107" si="25">C22</f>
        <v>133746.42857142858</v>
      </c>
      <c r="D107" s="15">
        <f t="shared" si="25"/>
        <v>2036700</v>
      </c>
      <c r="E107" s="15">
        <f t="shared" si="25"/>
        <v>29200000</v>
      </c>
      <c r="F107" s="15">
        <f t="shared" si="25"/>
        <v>77380000</v>
      </c>
      <c r="G107" s="15">
        <f t="shared" si="25"/>
        <v>215350000</v>
      </c>
      <c r="H107" s="15">
        <f t="shared" si="25"/>
        <v>356240000</v>
      </c>
    </row>
    <row r="108" spans="1:10" x14ac:dyDescent="0.3">
      <c r="B108" s="3" t="s">
        <v>207</v>
      </c>
      <c r="C108" s="15">
        <f>C100*C103*C107*C105</f>
        <v>4513.9419642857147</v>
      </c>
      <c r="D108" s="15">
        <f t="shared" ref="D108:H108" si="26">D100*D103*D107*D105</f>
        <v>68738.625</v>
      </c>
      <c r="E108" s="15">
        <f t="shared" si="26"/>
        <v>1752000</v>
      </c>
      <c r="F108" s="15">
        <f t="shared" si="26"/>
        <v>5223150</v>
      </c>
      <c r="G108" s="15">
        <f t="shared" si="26"/>
        <v>21714458.333333336</v>
      </c>
      <c r="H108" s="15">
        <f t="shared" si="26"/>
        <v>39186400</v>
      </c>
    </row>
    <row r="109" spans="1:10" x14ac:dyDescent="0.3">
      <c r="B109" s="3" t="s">
        <v>208</v>
      </c>
      <c r="C109" s="15">
        <f>C101*C104*C107*C105</f>
        <v>1504.6473214285716</v>
      </c>
      <c r="D109" s="15">
        <f t="shared" ref="D109:H109" si="27">D101*D104*D107*D105</f>
        <v>22912.875</v>
      </c>
      <c r="E109" s="15">
        <f t="shared" si="27"/>
        <v>876000</v>
      </c>
      <c r="F109" s="15">
        <f t="shared" si="27"/>
        <v>2321400</v>
      </c>
      <c r="G109" s="15">
        <f t="shared" si="27"/>
        <v>9870208.3333333321</v>
      </c>
      <c r="H109" s="15">
        <f t="shared" si="27"/>
        <v>16327666.666666666</v>
      </c>
    </row>
    <row r="110" spans="1:10" x14ac:dyDescent="0.3">
      <c r="A110" s="9" t="s">
        <v>136</v>
      </c>
      <c r="B110" s="81" t="s">
        <v>253</v>
      </c>
      <c r="C110" s="84">
        <f>(C108+C109)/365</f>
        <v>16.489285714285717</v>
      </c>
      <c r="D110" s="84">
        <f t="shared" ref="D110:H110" si="28">(D108+D109)/365</f>
        <v>251.1</v>
      </c>
      <c r="E110" s="84">
        <f t="shared" si="28"/>
        <v>7200</v>
      </c>
      <c r="F110" s="84">
        <f t="shared" si="28"/>
        <v>20670</v>
      </c>
      <c r="G110" s="84">
        <f t="shared" si="28"/>
        <v>86533.333333333343</v>
      </c>
      <c r="H110" s="84">
        <f t="shared" si="28"/>
        <v>152093.33333333331</v>
      </c>
    </row>
    <row r="111" spans="1:10" x14ac:dyDescent="0.3">
      <c r="B111" s="3" t="s">
        <v>206</v>
      </c>
      <c r="C111" s="15">
        <f>-(C108*Lähtöarvot!$E$35+C109*Lähtöarvot!$E$22)</f>
        <v>-72988.684310153825</v>
      </c>
      <c r="D111" s="15">
        <f>-(D108*Lähtöarvot!$E$35+D109*Lähtöarvot!$E$22)</f>
        <v>-1111476.8066879562</v>
      </c>
      <c r="E111" s="15">
        <f>-(E108*Lähtöarvot!$E$35+E109*Lähtöarvot!$E$22)</f>
        <v>-30311837.956204381</v>
      </c>
      <c r="F111" s="15">
        <f>-(F108*Lähtöarvot!$E$35+F109*Lähtöarvot!$E$22)</f>
        <v>-88396878.656934306</v>
      </c>
      <c r="G111" s="15">
        <f>-(G108*Lähtöarvot!$E$35+G109*Lähtöarvot!$E$22)</f>
        <v>-368985995.15510952</v>
      </c>
      <c r="H111" s="15">
        <f>-(H108*Lähtöarvot!$E$35+H109*Lähtöarvot!$E$22)</f>
        <v>-655801804.28710461</v>
      </c>
    </row>
    <row r="112" spans="1:10" x14ac:dyDescent="0.3">
      <c r="B112" s="3"/>
      <c r="C112" s="15"/>
      <c r="D112" s="15"/>
      <c r="E112" s="15"/>
      <c r="F112" s="15"/>
      <c r="G112" s="15"/>
      <c r="H112" s="15"/>
    </row>
    <row r="113" spans="1:10" x14ac:dyDescent="0.3">
      <c r="A113" s="21"/>
      <c r="B113" s="131" t="s">
        <v>476</v>
      </c>
      <c r="C113" s="132"/>
      <c r="D113" s="132"/>
      <c r="E113" s="132"/>
      <c r="F113" s="132"/>
      <c r="G113" s="132"/>
      <c r="H113" s="132"/>
    </row>
    <row r="115" spans="1:10" x14ac:dyDescent="0.3">
      <c r="B115" s="1" t="s">
        <v>466</v>
      </c>
      <c r="C115" s="6"/>
      <c r="D115" s="6"/>
      <c r="E115" s="6"/>
      <c r="F115" s="6"/>
      <c r="G115" s="6"/>
      <c r="H115" s="6"/>
    </row>
    <row r="116" spans="1:10" x14ac:dyDescent="0.3">
      <c r="B116" s="19" t="s">
        <v>124</v>
      </c>
      <c r="C116" s="8">
        <f t="shared" ref="C116:H116" si="29">C16</f>
        <v>15</v>
      </c>
      <c r="D116" s="8">
        <f t="shared" si="29"/>
        <v>100</v>
      </c>
      <c r="E116" s="8">
        <f t="shared" si="29"/>
        <v>1000</v>
      </c>
      <c r="F116" s="8">
        <f t="shared" si="29"/>
        <v>2000</v>
      </c>
      <c r="G116" s="8">
        <f t="shared" si="29"/>
        <v>5000</v>
      </c>
      <c r="H116" s="8">
        <f t="shared" si="29"/>
        <v>8000</v>
      </c>
    </row>
    <row r="117" spans="1:10" x14ac:dyDescent="0.3">
      <c r="B117" t="s">
        <v>180</v>
      </c>
      <c r="C117" s="59">
        <f>C69/1000000</f>
        <v>2.1463573037580001E-2</v>
      </c>
      <c r="D117" s="59">
        <f t="shared" ref="D117:H117" si="30">D69/1000000</f>
        <v>0.26642874715799403</v>
      </c>
      <c r="E117" s="59">
        <f t="shared" si="30"/>
        <v>-2.3741288507519989</v>
      </c>
      <c r="F117" s="59">
        <f t="shared" si="30"/>
        <v>-12.969623821895993</v>
      </c>
      <c r="G117" s="59">
        <f t="shared" si="30"/>
        <v>-85.123542779916008</v>
      </c>
      <c r="H117" s="59">
        <f t="shared" si="30"/>
        <v>-146.7539528716608</v>
      </c>
      <c r="J117" t="s">
        <v>173</v>
      </c>
    </row>
    <row r="118" spans="1:10" x14ac:dyDescent="0.3">
      <c r="B118" t="s">
        <v>181</v>
      </c>
      <c r="C118" s="59">
        <f t="shared" ref="C118:H118" si="31">C76/1000000</f>
        <v>1.3182997975804691E-2</v>
      </c>
      <c r="D118" s="59">
        <f t="shared" si="31"/>
        <v>0.17553771173151902</v>
      </c>
      <c r="E118" s="59">
        <f t="shared" si="31"/>
        <v>2.1211087976999998</v>
      </c>
      <c r="F118" s="59">
        <f t="shared" si="31"/>
        <v>3.8784365567730004</v>
      </c>
      <c r="G118" s="59">
        <f t="shared" si="31"/>
        <v>3.4873251500175</v>
      </c>
      <c r="H118" s="59">
        <f t="shared" si="31"/>
        <v>3.1932047089800051</v>
      </c>
      <c r="J118" t="s">
        <v>174</v>
      </c>
    </row>
    <row r="119" spans="1:10" x14ac:dyDescent="0.3">
      <c r="B119" t="s">
        <v>182</v>
      </c>
      <c r="C119" s="59">
        <f t="shared" ref="C119:H119" si="32">C79/1000000</f>
        <v>1.4218917187499998E-3</v>
      </c>
      <c r="D119" s="59">
        <f t="shared" si="32"/>
        <v>1.8390331732499998E-2</v>
      </c>
      <c r="E119" s="59">
        <f t="shared" si="32"/>
        <v>0.110376</v>
      </c>
      <c r="F119" s="59">
        <f t="shared" si="32"/>
        <v>2.9249640000000122E-2</v>
      </c>
      <c r="G119" s="59">
        <f t="shared" si="32"/>
        <v>-1.4799390374999999</v>
      </c>
      <c r="H119" s="59">
        <f t="shared" si="32"/>
        <v>-2.7773360999999994</v>
      </c>
    </row>
    <row r="120" spans="1:10" x14ac:dyDescent="0.3">
      <c r="B120" t="s">
        <v>449</v>
      </c>
      <c r="C120" s="59">
        <f t="shared" ref="C120:H120" si="33">C92/1000000</f>
        <v>-7.1999999999999995E-2</v>
      </c>
      <c r="D120" s="59">
        <f t="shared" si="33"/>
        <v>-0.48</v>
      </c>
      <c r="E120" s="59">
        <f t="shared" si="33"/>
        <v>-10.8</v>
      </c>
      <c r="F120" s="59">
        <f t="shared" si="33"/>
        <v>-21.6</v>
      </c>
      <c r="G120" s="59">
        <f t="shared" si="33"/>
        <v>-84</v>
      </c>
      <c r="H120" s="59">
        <f t="shared" si="33"/>
        <v>-134.4</v>
      </c>
    </row>
    <row r="121" spans="1:10" x14ac:dyDescent="0.3">
      <c r="B121" t="s">
        <v>450</v>
      </c>
      <c r="C121" s="59">
        <f>C97/1000000</f>
        <v>-2.8799999999999999E-2</v>
      </c>
      <c r="D121" s="59">
        <f t="shared" ref="D121:H121" si="34">D97/1000000</f>
        <v>-0.192</v>
      </c>
      <c r="E121" s="59">
        <f t="shared" si="34"/>
        <v>-4.32</v>
      </c>
      <c r="F121" s="59">
        <f t="shared" si="34"/>
        <v>-8.64</v>
      </c>
      <c r="G121" s="59">
        <f t="shared" si="34"/>
        <v>-33.6</v>
      </c>
      <c r="H121" s="59">
        <f t="shared" si="34"/>
        <v>-53.76</v>
      </c>
    </row>
    <row r="122" spans="1:10" x14ac:dyDescent="0.3">
      <c r="B122" s="8" t="s">
        <v>210</v>
      </c>
      <c r="C122" s="133">
        <f t="shared" ref="C122:H122" si="35">C111/1000000</f>
        <v>-7.2988684310153831E-2</v>
      </c>
      <c r="D122" s="133">
        <f t="shared" si="35"/>
        <v>-1.1114768066879561</v>
      </c>
      <c r="E122" s="133">
        <f t="shared" si="35"/>
        <v>-30.311837956204382</v>
      </c>
      <c r="F122" s="133">
        <f t="shared" si="35"/>
        <v>-88.396878656934305</v>
      </c>
      <c r="G122" s="133">
        <f t="shared" si="35"/>
        <v>-368.98599515510955</v>
      </c>
      <c r="H122" s="133">
        <f t="shared" si="35"/>
        <v>-655.80180428710457</v>
      </c>
    </row>
    <row r="123" spans="1:10" x14ac:dyDescent="0.3">
      <c r="B123" t="s">
        <v>169</v>
      </c>
      <c r="C123" s="59">
        <f>SUM(C117:C122)</f>
        <v>-0.13772022157801914</v>
      </c>
      <c r="D123" s="59">
        <f t="shared" ref="D123:G123" si="36">SUM(D117:D122)</f>
        <v>-1.3231200160659431</v>
      </c>
      <c r="E123" s="59">
        <f t="shared" si="36"/>
        <v>-45.574482009256386</v>
      </c>
      <c r="F123" s="59">
        <f t="shared" si="36"/>
        <v>-127.69881628205729</v>
      </c>
      <c r="G123" s="59">
        <f t="shared" si="36"/>
        <v>-569.70215182250809</v>
      </c>
      <c r="H123" s="59">
        <f>SUM(H117:H122)</f>
        <v>-990.29988854978535</v>
      </c>
    </row>
    <row r="125" spans="1:10" x14ac:dyDescent="0.3">
      <c r="B125" s="22"/>
    </row>
    <row r="143" spans="2:8" x14ac:dyDescent="0.3">
      <c r="C143" t="s">
        <v>198</v>
      </c>
    </row>
    <row r="144" spans="2:8" x14ac:dyDescent="0.3">
      <c r="B144" s="64" t="s">
        <v>124</v>
      </c>
      <c r="C144" s="8">
        <f>C116</f>
        <v>15</v>
      </c>
      <c r="D144" s="8">
        <f t="shared" ref="D144:H144" si="37">D116</f>
        <v>100</v>
      </c>
      <c r="E144" s="8">
        <f t="shared" si="37"/>
        <v>1000</v>
      </c>
      <c r="F144" s="8">
        <f t="shared" si="37"/>
        <v>2000</v>
      </c>
      <c r="G144" s="8">
        <f t="shared" si="37"/>
        <v>5000</v>
      </c>
      <c r="H144" s="8">
        <f t="shared" si="37"/>
        <v>8000</v>
      </c>
    </row>
    <row r="145" spans="2:8" x14ac:dyDescent="0.3">
      <c r="B145" s="38" t="s">
        <v>254</v>
      </c>
      <c r="C145">
        <f t="shared" ref="C145:H145" si="38">C91</f>
        <v>75</v>
      </c>
      <c r="D145">
        <f t="shared" si="38"/>
        <v>500</v>
      </c>
      <c r="E145">
        <f t="shared" si="38"/>
        <v>10000</v>
      </c>
      <c r="F145">
        <f t="shared" si="38"/>
        <v>20000</v>
      </c>
      <c r="G145">
        <f t="shared" si="38"/>
        <v>75000</v>
      </c>
      <c r="H145">
        <f t="shared" si="38"/>
        <v>120000</v>
      </c>
    </row>
    <row r="146" spans="2:8" x14ac:dyDescent="0.3">
      <c r="B146" s="38" t="s">
        <v>196</v>
      </c>
      <c r="C146" s="39">
        <f t="shared" ref="C146:H146" si="39">C39</f>
        <v>0.15</v>
      </c>
      <c r="D146" s="39">
        <f t="shared" si="39"/>
        <v>0.17</v>
      </c>
      <c r="E146" s="39">
        <f t="shared" si="39"/>
        <v>0.6</v>
      </c>
      <c r="F146" s="39">
        <f t="shared" si="39"/>
        <v>0.7</v>
      </c>
      <c r="G146" s="39">
        <f t="shared" si="39"/>
        <v>0.85</v>
      </c>
      <c r="H146" s="39">
        <f t="shared" si="39"/>
        <v>0.85</v>
      </c>
    </row>
    <row r="147" spans="2:8" x14ac:dyDescent="0.3">
      <c r="B147" s="38" t="s">
        <v>199</v>
      </c>
      <c r="C147" s="39">
        <f t="shared" ref="C147:H148" si="40">C41</f>
        <v>0.1</v>
      </c>
      <c r="D147" s="39">
        <f t="shared" si="40"/>
        <v>0.1</v>
      </c>
      <c r="E147" s="39">
        <f t="shared" si="40"/>
        <v>0.06</v>
      </c>
      <c r="F147" s="39">
        <f t="shared" si="40"/>
        <v>0.04</v>
      </c>
      <c r="G147" s="39">
        <f t="shared" si="40"/>
        <v>0.02</v>
      </c>
      <c r="H147" s="39">
        <f t="shared" si="40"/>
        <v>0.02</v>
      </c>
    </row>
    <row r="148" spans="2:8" x14ac:dyDescent="0.3">
      <c r="B148" s="38" t="s">
        <v>197</v>
      </c>
      <c r="C148" s="39">
        <f t="shared" si="40"/>
        <v>0.65</v>
      </c>
      <c r="D148" s="39">
        <f t="shared" si="40"/>
        <v>0.64</v>
      </c>
      <c r="E148" s="39">
        <f t="shared" si="40"/>
        <v>0.25</v>
      </c>
      <c r="F148" s="39">
        <f t="shared" si="40"/>
        <v>0.18</v>
      </c>
      <c r="G148" s="39">
        <f t="shared" si="40"/>
        <v>0.05</v>
      </c>
      <c r="H148" s="39">
        <f t="shared" si="40"/>
        <v>0.05</v>
      </c>
    </row>
    <row r="149" spans="2:8" x14ac:dyDescent="0.3">
      <c r="B149" s="66" t="s">
        <v>202</v>
      </c>
      <c r="C149" s="39">
        <f t="shared" ref="C149:H150" si="41">C103</f>
        <v>0.3</v>
      </c>
      <c r="D149" s="39">
        <f t="shared" si="41"/>
        <v>0.3</v>
      </c>
      <c r="E149" s="39">
        <f t="shared" si="41"/>
        <v>0.4</v>
      </c>
      <c r="F149" s="39">
        <f t="shared" si="41"/>
        <v>0.45</v>
      </c>
      <c r="G149" s="39">
        <f t="shared" si="41"/>
        <v>0.55000000000000004</v>
      </c>
      <c r="H149" s="39">
        <f t="shared" si="41"/>
        <v>0.6</v>
      </c>
    </row>
    <row r="150" spans="2:8" x14ac:dyDescent="0.3">
      <c r="B150" s="66" t="s">
        <v>204</v>
      </c>
      <c r="C150" s="39">
        <f t="shared" si="41"/>
        <v>0.1</v>
      </c>
      <c r="D150" s="39">
        <f t="shared" si="41"/>
        <v>0.1</v>
      </c>
      <c r="E150" s="39">
        <f t="shared" si="41"/>
        <v>0.2</v>
      </c>
      <c r="F150" s="39">
        <f t="shared" si="41"/>
        <v>0.2</v>
      </c>
      <c r="G150" s="39">
        <f t="shared" si="41"/>
        <v>0.25</v>
      </c>
      <c r="H150" s="39">
        <f t="shared" si="41"/>
        <v>0.25</v>
      </c>
    </row>
  </sheetData>
  <mergeCells count="2">
    <mergeCell ref="A17:A19"/>
    <mergeCell ref="A39:A4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opLeftCell="A10" workbookViewId="0">
      <selection activeCell="D22" sqref="D22"/>
    </sheetView>
  </sheetViews>
  <sheetFormatPr defaultRowHeight="14.4" x14ac:dyDescent="0.3"/>
  <cols>
    <col min="1" max="1" width="6.109375" customWidth="1"/>
    <col min="2" max="2" width="58.6640625" customWidth="1"/>
    <col min="3" max="3" width="18.88671875" customWidth="1"/>
    <col min="4" max="4" width="10.33203125" customWidth="1"/>
    <col min="5" max="5" width="11.5546875" customWidth="1"/>
    <col min="6" max="6" width="11.44140625" customWidth="1"/>
    <col min="7" max="7" width="13" customWidth="1"/>
    <col min="8" max="8" width="13.33203125" customWidth="1"/>
  </cols>
  <sheetData>
    <row r="1" spans="2:8" x14ac:dyDescent="0.3">
      <c r="B1" s="1" t="s">
        <v>468</v>
      </c>
    </row>
    <row r="2" spans="2:8" ht="15" x14ac:dyDescent="0.25">
      <c r="D2" t="s">
        <v>173</v>
      </c>
    </row>
    <row r="3" spans="2:8" x14ac:dyDescent="0.3">
      <c r="C3" s="15"/>
      <c r="D3" t="s">
        <v>174</v>
      </c>
      <c r="E3" s="15"/>
      <c r="F3" s="15"/>
      <c r="G3" s="15"/>
      <c r="H3" s="15"/>
    </row>
    <row r="4" spans="2:8" x14ac:dyDescent="0.3">
      <c r="B4" s="1" t="s">
        <v>466</v>
      </c>
    </row>
    <row r="5" spans="2:8" ht="15" x14ac:dyDescent="0.25">
      <c r="C5" s="6"/>
      <c r="D5" s="6"/>
      <c r="E5" s="6"/>
      <c r="F5" s="6"/>
      <c r="G5" s="6"/>
      <c r="H5" s="6"/>
    </row>
    <row r="7" spans="2:8" ht="15" x14ac:dyDescent="0.25">
      <c r="B7" s="1" t="s">
        <v>430</v>
      </c>
    </row>
    <row r="8" spans="2:8" x14ac:dyDescent="0.3">
      <c r="B8" s="19" t="s">
        <v>124</v>
      </c>
      <c r="C8" s="8">
        <f>Lyhyt_av_neutraali!C16</f>
        <v>15</v>
      </c>
      <c r="D8" s="8">
        <f>Lyhyt_av_neutraali!D16</f>
        <v>100</v>
      </c>
      <c r="E8" s="8">
        <f>Lyhyt_av_neutraali!E16</f>
        <v>1000</v>
      </c>
      <c r="F8" s="8">
        <f>Lyhyt_av_neutraali!F16</f>
        <v>2000</v>
      </c>
      <c r="G8" s="8">
        <f>Lyhyt_av_neutraali!G16</f>
        <v>5000</v>
      </c>
      <c r="H8" s="8">
        <f>Lyhyt_av_neutraali!H16</f>
        <v>8000</v>
      </c>
    </row>
    <row r="9" spans="2:8" ht="15" x14ac:dyDescent="0.25">
      <c r="B9" t="s">
        <v>431</v>
      </c>
      <c r="C9" s="44">
        <f>Lyhyt_av_pessimist!C123</f>
        <v>-9.0714764685911456E-2</v>
      </c>
      <c r="D9" s="44">
        <f>Lyhyt_av_pessimist!D123</f>
        <v>-0.60731761988437394</v>
      </c>
      <c r="E9" s="44">
        <f>Lyhyt_av_pessimist!E123</f>
        <v>-14.745110132548639</v>
      </c>
      <c r="F9" s="44">
        <f>Lyhyt_av_pessimist!F123</f>
        <v>-42.2956779317811</v>
      </c>
      <c r="G9" s="44">
        <f>Lyhyt_av_pessimist!G123</f>
        <v>-227.226213136935</v>
      </c>
      <c r="H9" s="44">
        <f>Lyhyt_av_pessimist!H123</f>
        <v>-381.99675394788017</v>
      </c>
    </row>
    <row r="10" spans="2:8" ht="15" x14ac:dyDescent="0.25">
      <c r="B10" t="s">
        <v>432</v>
      </c>
      <c r="C10" s="44">
        <f>Lyhyt_av_neutraali!C123</f>
        <v>-0.11046987244161401</v>
      </c>
      <c r="D10" s="44">
        <f>Lyhyt_av_neutraali!D123</f>
        <v>-0.90814978711156369</v>
      </c>
      <c r="E10" s="44">
        <f>Lyhyt_av_neutraali!E123</f>
        <v>-27.278800692374624</v>
      </c>
      <c r="F10" s="44">
        <f>Lyhyt_av_neutraali!F123</f>
        <v>-73.873355317323956</v>
      </c>
      <c r="G10" s="44">
        <f>Lyhyt_av_neutraali!G123</f>
        <v>-365.43509877726262</v>
      </c>
      <c r="H10" s="44">
        <f>Lyhyt_av_neutraali!H123</f>
        <v>-609.260266464761</v>
      </c>
    </row>
    <row r="11" spans="2:8" ht="15" x14ac:dyDescent="0.25">
      <c r="B11" t="s">
        <v>433</v>
      </c>
      <c r="C11" s="44">
        <f>Lyhyt_av_optimist!C123</f>
        <v>-0.13772022157801914</v>
      </c>
      <c r="D11" s="44">
        <f>Lyhyt_av_optimist!D123</f>
        <v>-1.3231200160659431</v>
      </c>
      <c r="E11" s="44">
        <f>Lyhyt_av_optimist!E123</f>
        <v>-45.574482009256386</v>
      </c>
      <c r="F11" s="44">
        <f>Lyhyt_av_optimist!F123</f>
        <v>-127.69881628205729</v>
      </c>
      <c r="G11" s="44">
        <f>Lyhyt_av_optimist!G123</f>
        <v>-569.70215182250809</v>
      </c>
      <c r="H11" s="44">
        <f>Lyhyt_av_optimist!H123</f>
        <v>-990.29988854978535</v>
      </c>
    </row>
    <row r="13" spans="2:8" ht="15" x14ac:dyDescent="0.25">
      <c r="B13" s="8" t="s">
        <v>439</v>
      </c>
      <c r="C13" s="8">
        <f>C8</f>
        <v>15</v>
      </c>
      <c r="D13" s="8">
        <f t="shared" ref="D13:H14" si="0">D8</f>
        <v>100</v>
      </c>
      <c r="E13" s="8">
        <f t="shared" si="0"/>
        <v>1000</v>
      </c>
      <c r="F13" s="8">
        <f t="shared" si="0"/>
        <v>2000</v>
      </c>
      <c r="G13" s="8">
        <f t="shared" si="0"/>
        <v>5000</v>
      </c>
      <c r="H13" s="8">
        <f t="shared" si="0"/>
        <v>8000</v>
      </c>
    </row>
    <row r="14" spans="2:8" ht="15" x14ac:dyDescent="0.25">
      <c r="B14" t="s">
        <v>436</v>
      </c>
      <c r="C14" s="44">
        <f>C9</f>
        <v>-9.0714764685911456E-2</v>
      </c>
      <c r="D14" s="44">
        <f t="shared" si="0"/>
        <v>-0.60731761988437394</v>
      </c>
      <c r="E14" s="44">
        <f t="shared" si="0"/>
        <v>-14.745110132548639</v>
      </c>
      <c r="F14" s="44">
        <f t="shared" si="0"/>
        <v>-42.2956779317811</v>
      </c>
      <c r="G14" s="44">
        <f t="shared" si="0"/>
        <v>-227.226213136935</v>
      </c>
      <c r="H14" s="44">
        <f t="shared" si="0"/>
        <v>-381.99675394788017</v>
      </c>
    </row>
    <row r="15" spans="2:8" ht="15" x14ac:dyDescent="0.25">
      <c r="B15" t="s">
        <v>437</v>
      </c>
      <c r="C15" s="44">
        <f>C10-C9</f>
        <v>-1.975510775570255E-2</v>
      </c>
      <c r="D15" s="44">
        <f t="shared" ref="D15:H16" si="1">D10-D9</f>
        <v>-0.30083216722718975</v>
      </c>
      <c r="E15" s="44">
        <f t="shared" si="1"/>
        <v>-12.533690559825985</v>
      </c>
      <c r="F15" s="44">
        <f t="shared" si="1"/>
        <v>-31.577677385542856</v>
      </c>
      <c r="G15" s="44">
        <f t="shared" si="1"/>
        <v>-138.20888564032762</v>
      </c>
      <c r="H15" s="44">
        <f t="shared" si="1"/>
        <v>-227.26351251688084</v>
      </c>
    </row>
    <row r="16" spans="2:8" ht="15" x14ac:dyDescent="0.25">
      <c r="B16" s="8" t="s">
        <v>438</v>
      </c>
      <c r="C16" s="125">
        <f>C11-C10</f>
        <v>-2.725034913640513E-2</v>
      </c>
      <c r="D16" s="125">
        <f t="shared" si="1"/>
        <v>-0.41497022895437941</v>
      </c>
      <c r="E16" s="125">
        <f t="shared" si="1"/>
        <v>-18.295681316881762</v>
      </c>
      <c r="F16" s="125">
        <f t="shared" si="1"/>
        <v>-53.825460964733338</v>
      </c>
      <c r="G16" s="125">
        <f t="shared" si="1"/>
        <v>-204.26705304524546</v>
      </c>
      <c r="H16" s="125">
        <f t="shared" si="1"/>
        <v>-381.03962208502435</v>
      </c>
    </row>
    <row r="17" spans="2:8" ht="15" x14ac:dyDescent="0.25">
      <c r="B17" t="s">
        <v>435</v>
      </c>
      <c r="C17" s="44">
        <f>SUM(C14:C16)</f>
        <v>-0.13772022157801914</v>
      </c>
      <c r="D17" s="44">
        <f t="shared" ref="D17:H17" si="2">SUM(D14:D16)</f>
        <v>-1.3231200160659431</v>
      </c>
      <c r="E17" s="44">
        <f t="shared" si="2"/>
        <v>-45.574482009256386</v>
      </c>
      <c r="F17" s="44">
        <f t="shared" si="2"/>
        <v>-127.69881628205729</v>
      </c>
      <c r="G17" s="44">
        <f t="shared" si="2"/>
        <v>-569.70215182250809</v>
      </c>
      <c r="H17" s="44">
        <f t="shared" si="2"/>
        <v>-990.29988854978535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workbookViewId="0">
      <selection activeCell="K56" sqref="K56"/>
    </sheetView>
  </sheetViews>
  <sheetFormatPr defaultRowHeight="14.4" x14ac:dyDescent="0.3"/>
  <cols>
    <col min="1" max="1" width="19.88671875" customWidth="1"/>
    <col min="2" max="2" width="62.88671875" customWidth="1"/>
    <col min="3" max="3" width="18.88671875" customWidth="1"/>
    <col min="4" max="4" width="10.33203125" customWidth="1"/>
    <col min="5" max="5" width="11.5546875" customWidth="1"/>
    <col min="6" max="6" width="11.44140625" customWidth="1"/>
    <col min="7" max="7" width="13" customWidth="1"/>
    <col min="8" max="8" width="13.33203125" customWidth="1"/>
    <col min="11" max="11" width="17" customWidth="1"/>
    <col min="12" max="12" width="54.33203125" customWidth="1"/>
    <col min="13" max="13" width="10.44140625" customWidth="1"/>
  </cols>
  <sheetData>
    <row r="1" spans="1:10" x14ac:dyDescent="0.3">
      <c r="B1" s="192" t="s">
        <v>613</v>
      </c>
    </row>
    <row r="2" spans="1:10" x14ac:dyDescent="0.3">
      <c r="B2" s="1" t="s">
        <v>614</v>
      </c>
    </row>
    <row r="4" spans="1:10" ht="15" x14ac:dyDescent="0.25">
      <c r="B4" s="121" t="s">
        <v>419</v>
      </c>
    </row>
    <row r="5" spans="1:10" ht="15" x14ac:dyDescent="0.25">
      <c r="B5" s="111" t="s">
        <v>673</v>
      </c>
      <c r="C5" s="28"/>
    </row>
    <row r="7" spans="1:10" ht="15" x14ac:dyDescent="0.25">
      <c r="B7" t="s">
        <v>173</v>
      </c>
    </row>
    <row r="8" spans="1:10" x14ac:dyDescent="0.3">
      <c r="B8" t="s">
        <v>174</v>
      </c>
    </row>
    <row r="10" spans="1:10" s="28" customFormat="1" x14ac:dyDescent="0.3">
      <c r="C10" s="22" t="s">
        <v>658</v>
      </c>
      <c r="D10"/>
    </row>
    <row r="11" spans="1:10" s="28" customFormat="1" x14ac:dyDescent="0.3">
      <c r="B11" s="19" t="s">
        <v>124</v>
      </c>
      <c r="C11" s="123">
        <v>15</v>
      </c>
      <c r="D11" s="123">
        <v>100</v>
      </c>
      <c r="E11" s="123">
        <v>1000</v>
      </c>
      <c r="F11" s="123">
        <v>2000</v>
      </c>
      <c r="G11" s="123">
        <v>5000</v>
      </c>
      <c r="H11" s="123">
        <v>8000</v>
      </c>
    </row>
    <row r="12" spans="1:10" s="28" customFormat="1" ht="15" x14ac:dyDescent="0.25">
      <c r="C12"/>
      <c r="D12"/>
    </row>
    <row r="13" spans="1:10" s="28" customFormat="1" x14ac:dyDescent="0.3">
      <c r="B13" s="190" t="s">
        <v>657</v>
      </c>
      <c r="C13"/>
      <c r="D13"/>
    </row>
    <row r="14" spans="1:10" s="28" customFormat="1" x14ac:dyDescent="0.3">
      <c r="A14" s="112" t="s">
        <v>571</v>
      </c>
      <c r="B14" s="112" t="s">
        <v>654</v>
      </c>
      <c r="C14" s="157">
        <f>Lyhyt_av_pessimist!C123</f>
        <v>-9.0714764685911456E-2</v>
      </c>
      <c r="D14" s="157">
        <f>Lyhyt_av_pessimist!D123</f>
        <v>-0.60731761988437394</v>
      </c>
      <c r="E14" s="157">
        <f>Lyhyt_av_pessimist!E123</f>
        <v>-14.745110132548639</v>
      </c>
      <c r="F14" s="157">
        <f>Lyhyt_av_pessimist!F123</f>
        <v>-42.2956779317811</v>
      </c>
      <c r="G14" s="157">
        <f>Lyhyt_av_pessimist!G123</f>
        <v>-227.226213136935</v>
      </c>
      <c r="H14" s="157">
        <f>Lyhyt_av_pessimist!H123</f>
        <v>-381.99675394788017</v>
      </c>
      <c r="I14" s="31"/>
      <c r="J14" s="31"/>
    </row>
    <row r="15" spans="1:10" s="28" customFormat="1" x14ac:dyDescent="0.3">
      <c r="A15" s="34" t="s">
        <v>386</v>
      </c>
      <c r="B15" s="34" t="s">
        <v>654</v>
      </c>
      <c r="C15" s="160">
        <f>Lyhyt_av_neutraali!C123</f>
        <v>-0.11046987244161401</v>
      </c>
      <c r="D15" s="160">
        <f>Lyhyt_av_neutraali!D123</f>
        <v>-0.90814978711156369</v>
      </c>
      <c r="E15" s="160">
        <f>Lyhyt_av_neutraali!E123</f>
        <v>-27.278800692374624</v>
      </c>
      <c r="F15" s="160">
        <f>Lyhyt_av_neutraali!F123</f>
        <v>-73.873355317323956</v>
      </c>
      <c r="G15" s="160">
        <f>Lyhyt_av_neutraali!G123</f>
        <v>-365.43509877726262</v>
      </c>
      <c r="H15" s="160">
        <f>Lyhyt_av_neutraali!H123</f>
        <v>-609.260266464761</v>
      </c>
      <c r="I15" s="31"/>
      <c r="J15" s="31"/>
    </row>
    <row r="16" spans="1:10" s="28" customFormat="1" x14ac:dyDescent="0.3">
      <c r="A16" s="112" t="s">
        <v>387</v>
      </c>
      <c r="B16" s="112" t="s">
        <v>654</v>
      </c>
      <c r="C16" s="157">
        <f>Lyhyt_av_optimist!C123</f>
        <v>-0.13772022157801914</v>
      </c>
      <c r="D16" s="157">
        <f>Lyhyt_av_optimist!D123</f>
        <v>-1.3231200160659431</v>
      </c>
      <c r="E16" s="157">
        <f>Lyhyt_av_optimist!E123</f>
        <v>-45.574482009256386</v>
      </c>
      <c r="F16" s="157">
        <f>Lyhyt_av_optimist!F123</f>
        <v>-127.69881628205729</v>
      </c>
      <c r="G16" s="157">
        <f>Lyhyt_av_optimist!G123</f>
        <v>-569.70215182250809</v>
      </c>
      <c r="H16" s="157">
        <f>Lyhyt_av_optimist!H123</f>
        <v>-990.29988854978535</v>
      </c>
      <c r="I16" s="31"/>
      <c r="J16" s="31"/>
    </row>
    <row r="17" spans="1:8" s="28" customFormat="1" ht="15" x14ac:dyDescent="0.25">
      <c r="B17" s="3"/>
      <c r="C17"/>
      <c r="D17"/>
    </row>
    <row r="18" spans="1:8" s="28" customFormat="1" x14ac:dyDescent="0.3">
      <c r="A18" s="112" t="s">
        <v>571</v>
      </c>
      <c r="B18" s="112" t="s">
        <v>655</v>
      </c>
      <c r="C18" s="157">
        <f>'Pitkä_laskenta-aputaulu'!C148</f>
        <v>0</v>
      </c>
      <c r="D18" s="157">
        <f>'Pitkä_laskenta-aputaulu'!D148</f>
        <v>0</v>
      </c>
      <c r="E18" s="157">
        <f>'Pitkä_laskenta-aputaulu'!E148</f>
        <v>0</v>
      </c>
      <c r="F18" s="157">
        <f>'Pitkä_laskenta-aputaulu'!F148</f>
        <v>-6.8176422954923082</v>
      </c>
      <c r="G18" s="157">
        <f>'Pitkä_laskenta-aputaulu'!G148</f>
        <v>-19.542804820790771</v>
      </c>
      <c r="H18" s="157">
        <f>'Pitkä_laskenta-aputaulu'!H148</f>
        <v>-28.291281057820001</v>
      </c>
    </row>
    <row r="19" spans="1:8" s="28" customFormat="1" x14ac:dyDescent="0.3">
      <c r="A19" s="34" t="s">
        <v>386</v>
      </c>
      <c r="B19" s="49" t="s">
        <v>655</v>
      </c>
      <c r="C19" s="160">
        <f>'Pitkä_laskenta-aputaulu'!C149</f>
        <v>0</v>
      </c>
      <c r="D19" s="160">
        <f>'Pitkä_laskenta-aputaulu'!D149</f>
        <v>0</v>
      </c>
      <c r="E19" s="160">
        <f>'Pitkä_laskenta-aputaulu'!E149</f>
        <v>0</v>
      </c>
      <c r="F19" s="160">
        <f>'Pitkä_laskenta-aputaulu'!F149</f>
        <v>-13.072784590984616</v>
      </c>
      <c r="G19" s="160">
        <f>'Pitkä_laskenta-aputaulu'!G149</f>
        <v>-37.960609641581541</v>
      </c>
      <c r="H19" s="160">
        <f>'Pitkä_laskenta-aputaulu'!H149</f>
        <v>-55.332562115640002</v>
      </c>
    </row>
    <row r="20" spans="1:8" s="28" customFormat="1" x14ac:dyDescent="0.3">
      <c r="A20" s="112" t="s">
        <v>387</v>
      </c>
      <c r="B20" s="112" t="s">
        <v>655</v>
      </c>
      <c r="C20" s="157">
        <f>'Pitkä_laskenta-aputaulu'!C150</f>
        <v>0</v>
      </c>
      <c r="D20" s="157">
        <f>'Pitkä_laskenta-aputaulu'!D150</f>
        <v>0</v>
      </c>
      <c r="E20" s="157">
        <f>'Pitkä_laskenta-aputaulu'!E150</f>
        <v>0</v>
      </c>
      <c r="F20" s="157">
        <f>'Pitkä_laskenta-aputaulu'!F150</f>
        <v>-17.050869968280001</v>
      </c>
      <c r="G20" s="157">
        <f>'Pitkä_laskenta-aputaulu'!G150</f>
        <v>-49.461292534056</v>
      </c>
      <c r="H20" s="157">
        <f>'Pitkä_laskenta-aputaulu'!H150</f>
        <v>-72.057330750332</v>
      </c>
    </row>
    <row r="21" spans="1:8" s="28" customFormat="1" x14ac:dyDescent="0.3">
      <c r="A21" s="123"/>
      <c r="B21" s="174"/>
      <c r="C21" s="8"/>
      <c r="D21" s="8"/>
      <c r="E21" s="123"/>
      <c r="F21" s="123"/>
      <c r="G21" s="123"/>
      <c r="H21" s="123"/>
    </row>
    <row r="22" spans="1:8" s="28" customFormat="1" x14ac:dyDescent="0.3">
      <c r="A22" s="112" t="s">
        <v>571</v>
      </c>
      <c r="B22" s="112" t="s">
        <v>656</v>
      </c>
      <c r="C22" s="157">
        <f>C14+C18</f>
        <v>-9.0714764685911456E-2</v>
      </c>
      <c r="D22" s="157">
        <f t="shared" ref="D22:H22" si="0">D14+D18</f>
        <v>-0.60731761988437394</v>
      </c>
      <c r="E22" s="157">
        <f t="shared" si="0"/>
        <v>-14.745110132548639</v>
      </c>
      <c r="F22" s="157">
        <f t="shared" si="0"/>
        <v>-49.113320227273405</v>
      </c>
      <c r="G22" s="157">
        <f t="shared" si="0"/>
        <v>-246.76901795772577</v>
      </c>
      <c r="H22" s="157">
        <f t="shared" si="0"/>
        <v>-410.28803500570018</v>
      </c>
    </row>
    <row r="23" spans="1:8" s="28" customFormat="1" x14ac:dyDescent="0.3">
      <c r="A23" s="34" t="s">
        <v>386</v>
      </c>
      <c r="B23" s="49" t="s">
        <v>656</v>
      </c>
      <c r="C23" s="160">
        <f t="shared" ref="C23:H24" si="1">C15+C19</f>
        <v>-0.11046987244161401</v>
      </c>
      <c r="D23" s="160">
        <f t="shared" si="1"/>
        <v>-0.90814978711156369</v>
      </c>
      <c r="E23" s="160">
        <f t="shared" si="1"/>
        <v>-27.278800692374624</v>
      </c>
      <c r="F23" s="160">
        <f t="shared" si="1"/>
        <v>-86.946139908308567</v>
      </c>
      <c r="G23" s="160">
        <f t="shared" si="1"/>
        <v>-403.39570841884415</v>
      </c>
      <c r="H23" s="160">
        <f t="shared" si="1"/>
        <v>-664.59282858040103</v>
      </c>
    </row>
    <row r="24" spans="1:8" x14ac:dyDescent="0.3">
      <c r="A24" s="112" t="s">
        <v>387</v>
      </c>
      <c r="B24" s="112" t="s">
        <v>656</v>
      </c>
      <c r="C24" s="157">
        <f t="shared" si="1"/>
        <v>-0.13772022157801914</v>
      </c>
      <c r="D24" s="157">
        <f t="shared" si="1"/>
        <v>-1.3231200160659431</v>
      </c>
      <c r="E24" s="157">
        <f t="shared" si="1"/>
        <v>-45.574482009256386</v>
      </c>
      <c r="F24" s="157">
        <f t="shared" si="1"/>
        <v>-144.74968625033731</v>
      </c>
      <c r="G24" s="157">
        <f t="shared" si="1"/>
        <v>-619.16344435656413</v>
      </c>
      <c r="H24" s="157">
        <f t="shared" si="1"/>
        <v>-1062.3572193001173</v>
      </c>
    </row>
    <row r="25" spans="1:8" x14ac:dyDescent="0.3">
      <c r="A25" s="31"/>
      <c r="B25" s="31"/>
      <c r="C25" s="163"/>
      <c r="D25" s="163"/>
      <c r="E25" s="163"/>
      <c r="F25" s="163"/>
      <c r="G25" s="163"/>
      <c r="H25" s="163"/>
    </row>
    <row r="27" spans="1:8" x14ac:dyDescent="0.3">
      <c r="B27" s="1" t="s">
        <v>440</v>
      </c>
      <c r="C27" s="6" t="s">
        <v>615</v>
      </c>
      <c r="D27" s="6"/>
      <c r="E27" s="6"/>
      <c r="F27" s="6"/>
      <c r="G27" s="6"/>
      <c r="H27" s="6"/>
    </row>
    <row r="28" spans="1:8" x14ac:dyDescent="0.3">
      <c r="A28" s="8"/>
      <c r="B28" s="19" t="s">
        <v>124</v>
      </c>
      <c r="C28" s="8">
        <f t="shared" ref="C28:H28" si="2">C11</f>
        <v>15</v>
      </c>
      <c r="D28" s="8">
        <f t="shared" si="2"/>
        <v>100</v>
      </c>
      <c r="E28" s="8">
        <f t="shared" si="2"/>
        <v>1000</v>
      </c>
      <c r="F28" s="8">
        <f t="shared" si="2"/>
        <v>2000</v>
      </c>
      <c r="G28" s="8">
        <f t="shared" si="2"/>
        <v>5000</v>
      </c>
      <c r="H28" s="8">
        <f t="shared" si="2"/>
        <v>8000</v>
      </c>
    </row>
    <row r="29" spans="1:8" x14ac:dyDescent="0.3">
      <c r="A29" s="206" t="s">
        <v>610</v>
      </c>
      <c r="B29" t="s">
        <v>180</v>
      </c>
      <c r="C29" s="175">
        <f>Lyhyt_av_neutraali!C117</f>
        <v>2.1463573037580001E-2</v>
      </c>
      <c r="D29" s="175">
        <f>Lyhyt_av_neutraali!D117</f>
        <v>0.26642874715799403</v>
      </c>
      <c r="E29" s="175">
        <f>Lyhyt_av_neutraali!E117</f>
        <v>0.13882708540799935</v>
      </c>
      <c r="F29" s="175">
        <f>Lyhyt_av_neutraali!F117</f>
        <v>-5.839062176591999</v>
      </c>
      <c r="G29" s="175">
        <f>Lyhyt_av_neutraali!G117</f>
        <v>-56.413247202395993</v>
      </c>
      <c r="H29" s="175">
        <f>Lyhyt_av_neutraali!H117</f>
        <v>-99.26031137393278</v>
      </c>
    </row>
    <row r="30" spans="1:8" x14ac:dyDescent="0.3">
      <c r="A30" s="207"/>
      <c r="B30" t="s">
        <v>181</v>
      </c>
      <c r="C30" s="175">
        <f>Lyhyt_av_neutraali!C118</f>
        <v>1.3182997975804691E-2</v>
      </c>
      <c r="D30" s="175">
        <f>Lyhyt_av_neutraali!D118</f>
        <v>0.17553771173151902</v>
      </c>
      <c r="E30" s="175">
        <f>Lyhyt_av_neutraali!E118</f>
        <v>2.4462477959400006</v>
      </c>
      <c r="F30" s="175">
        <f>Lyhyt_av_neutraali!F118</f>
        <v>4.8015990696329993</v>
      </c>
      <c r="G30" s="175">
        <f>Lyhyt_av_neutraali!G118</f>
        <v>7.2031187759850006</v>
      </c>
      <c r="H30" s="175">
        <f>Lyhyt_av_neutraali!H118</f>
        <v>9.3400090800720044</v>
      </c>
    </row>
    <row r="31" spans="1:8" x14ac:dyDescent="0.3">
      <c r="A31" s="207"/>
      <c r="B31" t="s">
        <v>182</v>
      </c>
      <c r="C31" s="175">
        <f>Lyhyt_av_neutraali!C119</f>
        <v>1.4218917187499998E-3</v>
      </c>
      <c r="D31" s="175">
        <f>Lyhyt_av_neutraali!D119</f>
        <v>1.8390331732499998E-2</v>
      </c>
      <c r="E31" s="175">
        <f>Lyhyt_av_neutraali!E119</f>
        <v>0.18763919999999998</v>
      </c>
      <c r="F31" s="175">
        <f>Lyhyt_av_neutraali!F119</f>
        <v>0.24862193999999999</v>
      </c>
      <c r="G31" s="175">
        <f>Lyhyt_av_neutraali!G119</f>
        <v>-0.59695019999999999</v>
      </c>
      <c r="H31" s="175">
        <f>Lyhyt_av_neutraali!H119</f>
        <v>-1.3166630399999999</v>
      </c>
    </row>
    <row r="32" spans="1:8" x14ac:dyDescent="0.3">
      <c r="A32" s="207"/>
      <c r="B32" t="s">
        <v>449</v>
      </c>
      <c r="C32" s="175">
        <f>Lyhyt_av_neutraali!C120</f>
        <v>-7.1999999999999995E-2</v>
      </c>
      <c r="D32" s="175">
        <f>Lyhyt_av_neutraali!D120</f>
        <v>-0.48</v>
      </c>
      <c r="E32" s="175">
        <f>Lyhyt_av_neutraali!E120</f>
        <v>-7.2</v>
      </c>
      <c r="F32" s="175">
        <f>Lyhyt_av_neutraali!F120</f>
        <v>-14.4</v>
      </c>
      <c r="G32" s="175">
        <f>Lyhyt_av_neutraali!G120</f>
        <v>-54</v>
      </c>
      <c r="H32" s="175">
        <f>Lyhyt_av_neutraali!H120</f>
        <v>-86.4</v>
      </c>
    </row>
    <row r="33" spans="1:10" x14ac:dyDescent="0.3">
      <c r="A33" s="207"/>
      <c r="B33" t="s">
        <v>450</v>
      </c>
      <c r="C33" s="175">
        <f>Lyhyt_av_neutraali!C121</f>
        <v>-2.8799999999999999E-2</v>
      </c>
      <c r="D33" s="175">
        <f>Lyhyt_av_neutraali!D121</f>
        <v>-0.192</v>
      </c>
      <c r="E33" s="175">
        <f>Lyhyt_av_neutraali!E121</f>
        <v>-2.88</v>
      </c>
      <c r="F33" s="175">
        <f>Lyhyt_av_neutraali!F121</f>
        <v>-5.76</v>
      </c>
      <c r="G33" s="175">
        <f>Lyhyt_av_neutraali!G121</f>
        <v>-21.6</v>
      </c>
      <c r="H33" s="175">
        <f>Lyhyt_av_neutraali!H121</f>
        <v>-34.56</v>
      </c>
    </row>
    <row r="34" spans="1:10" x14ac:dyDescent="0.3">
      <c r="A34" s="208"/>
      <c r="B34" s="176" t="s">
        <v>210</v>
      </c>
      <c r="C34" s="177">
        <f>Lyhyt_av_neutraali!C122</f>
        <v>-4.5738335173748701E-2</v>
      </c>
      <c r="D34" s="177">
        <f>Lyhyt_av_neutraali!D122</f>
        <v>-0.69650657773357671</v>
      </c>
      <c r="E34" s="177">
        <f>Lyhyt_av_neutraali!E122</f>
        <v>-19.971514773722625</v>
      </c>
      <c r="F34" s="177">
        <f>Lyhyt_av_neutraali!F122</f>
        <v>-52.924514150364963</v>
      </c>
      <c r="G34" s="177">
        <f>Lyhyt_av_neutraali!G122</f>
        <v>-240.0280201508516</v>
      </c>
      <c r="H34" s="177">
        <f>Lyhyt_av_neutraali!H122</f>
        <v>-397.06330113090024</v>
      </c>
    </row>
    <row r="35" spans="1:10" x14ac:dyDescent="0.3">
      <c r="A35" s="209" t="s">
        <v>608</v>
      </c>
      <c r="B35" t="s">
        <v>380</v>
      </c>
      <c r="C35" s="59">
        <f>'Pitkä_laskenta-aputaulu'!C120</f>
        <v>0</v>
      </c>
      <c r="D35" s="59">
        <f>'Pitkä_laskenta-aputaulu'!D120</f>
        <v>0</v>
      </c>
      <c r="E35" s="59">
        <f>'Pitkä_laskenta-aputaulu'!E120</f>
        <v>0</v>
      </c>
      <c r="F35" s="59">
        <f>'Pitkä_laskenta-aputaulu'!F120</f>
        <v>-2.5698999755999998</v>
      </c>
      <c r="G35" s="59">
        <f>'Pitkä_laskenta-aputaulu'!G120</f>
        <v>-4.3234681812</v>
      </c>
      <c r="H35" s="59">
        <f>'Pitkä_laskenta-aputaulu'!H120</f>
        <v>-6.4852022718000004</v>
      </c>
      <c r="J35" t="s">
        <v>173</v>
      </c>
    </row>
    <row r="36" spans="1:10" x14ac:dyDescent="0.3">
      <c r="A36" s="210"/>
      <c r="B36" t="s">
        <v>598</v>
      </c>
      <c r="C36" s="59">
        <f>'Pitkä_laskenta-aputaulu'!C121</f>
        <v>0</v>
      </c>
      <c r="D36" s="59">
        <f>'Pitkä_laskenta-aputaulu'!D121</f>
        <v>0</v>
      </c>
      <c r="E36" s="59">
        <f>'Pitkä_laskenta-aputaulu'!E121</f>
        <v>0</v>
      </c>
      <c r="F36" s="59">
        <f>'Pitkä_laskenta-aputaulu'!F121</f>
        <v>0</v>
      </c>
      <c r="G36" s="59">
        <f>'Pitkä_laskenta-aputaulu'!G121</f>
        <v>-8.2236799219200005</v>
      </c>
      <c r="H36" s="59">
        <f>'Pitkä_laskenta-aputaulu'!H121</f>
        <v>-16.447359843840001</v>
      </c>
      <c r="J36" t="s">
        <v>174</v>
      </c>
    </row>
    <row r="37" spans="1:10" x14ac:dyDescent="0.3">
      <c r="A37" s="210"/>
      <c r="B37" t="s">
        <v>429</v>
      </c>
      <c r="C37" s="59">
        <f>'Pitkä_laskenta-aputaulu'!C122</f>
        <v>0</v>
      </c>
      <c r="D37" s="59">
        <f>'Pitkä_laskenta-aputaulu'!D122</f>
        <v>0</v>
      </c>
      <c r="E37" s="59">
        <f>'Pitkä_laskenta-aputaulu'!E122</f>
        <v>0</v>
      </c>
      <c r="F37" s="59">
        <f>'Pitkä_laskenta-aputaulu'!F122</f>
        <v>-1.6875</v>
      </c>
      <c r="G37" s="59">
        <f>'Pitkä_laskenta-aputaulu'!G122</f>
        <v>-3.375</v>
      </c>
      <c r="H37" s="59">
        <f>'Pitkä_laskenta-aputaulu'!H122</f>
        <v>-3.75</v>
      </c>
    </row>
    <row r="38" spans="1:10" x14ac:dyDescent="0.3">
      <c r="A38" s="211"/>
      <c r="B38" s="176" t="s">
        <v>377</v>
      </c>
      <c r="C38" s="177">
        <f>'Pitkä_laskenta-aputaulu'!C123</f>
        <v>0</v>
      </c>
      <c r="D38" s="177">
        <f>'Pitkä_laskenta-aputaulu'!D123</f>
        <v>0</v>
      </c>
      <c r="E38" s="177">
        <f>'Pitkä_laskenta-aputaulu'!E123</f>
        <v>0</v>
      </c>
      <c r="F38" s="177">
        <f>'Pitkä_laskenta-aputaulu'!F123</f>
        <v>-8.815384615384616</v>
      </c>
      <c r="G38" s="177">
        <f>'Pitkä_laskenta-aputaulu'!G123</f>
        <v>-22.03846153846154</v>
      </c>
      <c r="H38" s="177">
        <f>'Pitkä_laskenta-aputaulu'!H123</f>
        <v>-28.65</v>
      </c>
    </row>
    <row r="39" spans="1:10" x14ac:dyDescent="0.3">
      <c r="A39" s="179"/>
      <c r="B39" s="180" t="s">
        <v>612</v>
      </c>
      <c r="C39" s="181">
        <f>SUM(C29:C38)</f>
        <v>-0.11046987244161401</v>
      </c>
      <c r="D39" s="181">
        <f t="shared" ref="D39:H39" si="3">SUM(D29:D38)</f>
        <v>-0.90814978711156369</v>
      </c>
      <c r="E39" s="181">
        <f t="shared" si="3"/>
        <v>-27.278800692374624</v>
      </c>
      <c r="F39" s="181">
        <f t="shared" si="3"/>
        <v>-86.946139908308567</v>
      </c>
      <c r="G39" s="181">
        <f t="shared" si="3"/>
        <v>-403.39570841884415</v>
      </c>
      <c r="H39" s="181">
        <f t="shared" si="3"/>
        <v>-664.59282858040092</v>
      </c>
    </row>
    <row r="41" spans="1:10" x14ac:dyDescent="0.3">
      <c r="B41" s="22" t="s">
        <v>663</v>
      </c>
    </row>
    <row r="43" spans="1:10" x14ac:dyDescent="0.3">
      <c r="J43" t="s">
        <v>173</v>
      </c>
    </row>
    <row r="44" spans="1:10" x14ac:dyDescent="0.3">
      <c r="J44" t="s">
        <v>174</v>
      </c>
    </row>
    <row r="59" spans="2:18" x14ac:dyDescent="0.3">
      <c r="L59" t="s">
        <v>665</v>
      </c>
    </row>
    <row r="62" spans="2:18" x14ac:dyDescent="0.3">
      <c r="B62" s="22" t="s">
        <v>662</v>
      </c>
      <c r="D62" s="191" t="s">
        <v>664</v>
      </c>
      <c r="E62" s="191"/>
    </row>
    <row r="63" spans="2:18" ht="28.8" x14ac:dyDescent="0.3">
      <c r="D63" s="191" t="s">
        <v>659</v>
      </c>
      <c r="E63" s="191"/>
      <c r="F63" s="191"/>
      <c r="G63" s="191"/>
      <c r="H63" s="191"/>
      <c r="L63" s="1" t="s">
        <v>440</v>
      </c>
      <c r="M63" s="6" t="s">
        <v>615</v>
      </c>
      <c r="N63" s="6"/>
      <c r="O63" s="6"/>
      <c r="P63" s="6"/>
      <c r="Q63" s="6"/>
      <c r="R63" s="6"/>
    </row>
    <row r="64" spans="2:18" x14ac:dyDescent="0.3">
      <c r="D64" s="191" t="s">
        <v>660</v>
      </c>
      <c r="E64" s="191"/>
      <c r="F64" s="191"/>
      <c r="G64" s="191"/>
      <c r="H64" s="191"/>
      <c r="K64" s="8"/>
      <c r="L64" s="19" t="s">
        <v>124</v>
      </c>
      <c r="M64" s="8">
        <f>C28</f>
        <v>15</v>
      </c>
      <c r="N64" s="8">
        <f t="shared" ref="N64:R64" si="4">D28</f>
        <v>100</v>
      </c>
      <c r="O64" s="8">
        <f t="shared" si="4"/>
        <v>1000</v>
      </c>
      <c r="P64" s="8">
        <f t="shared" si="4"/>
        <v>2000</v>
      </c>
      <c r="Q64" s="8">
        <f t="shared" si="4"/>
        <v>5000</v>
      </c>
      <c r="R64" s="8">
        <f t="shared" si="4"/>
        <v>8000</v>
      </c>
    </row>
    <row r="65" spans="4:18" x14ac:dyDescent="0.3">
      <c r="D65" s="4" t="s">
        <v>661</v>
      </c>
      <c r="K65" s="206" t="s">
        <v>610</v>
      </c>
      <c r="L65" t="s">
        <v>180</v>
      </c>
      <c r="M65" s="175">
        <f>-C29</f>
        <v>-2.1463573037580001E-2</v>
      </c>
      <c r="N65" s="175">
        <f t="shared" ref="N65:R65" si="5">-D29</f>
        <v>-0.26642874715799403</v>
      </c>
      <c r="O65" s="175">
        <f t="shared" si="5"/>
        <v>-0.13882708540799935</v>
      </c>
      <c r="P65" s="175">
        <f t="shared" si="5"/>
        <v>5.839062176591999</v>
      </c>
      <c r="Q65" s="175">
        <f t="shared" si="5"/>
        <v>56.413247202395993</v>
      </c>
      <c r="R65" s="175">
        <f t="shared" si="5"/>
        <v>99.26031137393278</v>
      </c>
    </row>
    <row r="66" spans="4:18" x14ac:dyDescent="0.3">
      <c r="K66" s="207"/>
      <c r="L66" t="s">
        <v>181</v>
      </c>
      <c r="M66" s="175">
        <f t="shared" ref="M66:M74" si="6">-C30</f>
        <v>-1.3182997975804691E-2</v>
      </c>
      <c r="N66" s="175">
        <f t="shared" ref="N66:N74" si="7">-D30</f>
        <v>-0.17553771173151902</v>
      </c>
      <c r="O66" s="175">
        <f t="shared" ref="O66:O74" si="8">-E30</f>
        <v>-2.4462477959400006</v>
      </c>
      <c r="P66" s="175">
        <f t="shared" ref="P66:P74" si="9">-F30</f>
        <v>-4.8015990696329993</v>
      </c>
      <c r="Q66" s="175">
        <f t="shared" ref="Q66:Q74" si="10">-G30</f>
        <v>-7.2031187759850006</v>
      </c>
      <c r="R66" s="175">
        <f t="shared" ref="R66:R74" si="11">-H30</f>
        <v>-9.3400090800720044</v>
      </c>
    </row>
    <row r="67" spans="4:18" x14ac:dyDescent="0.3">
      <c r="K67" s="207"/>
      <c r="L67" t="s">
        <v>182</v>
      </c>
      <c r="M67" s="175">
        <f t="shared" si="6"/>
        <v>-1.4218917187499998E-3</v>
      </c>
      <c r="N67" s="175">
        <f t="shared" si="7"/>
        <v>-1.8390331732499998E-2</v>
      </c>
      <c r="O67" s="175">
        <f t="shared" si="8"/>
        <v>-0.18763919999999998</v>
      </c>
      <c r="P67" s="175">
        <f t="shared" si="9"/>
        <v>-0.24862193999999999</v>
      </c>
      <c r="Q67" s="175">
        <f t="shared" si="10"/>
        <v>0.59695019999999999</v>
      </c>
      <c r="R67" s="175">
        <f t="shared" si="11"/>
        <v>1.3166630399999999</v>
      </c>
    </row>
    <row r="68" spans="4:18" x14ac:dyDescent="0.3">
      <c r="K68" s="207"/>
      <c r="L68" t="s">
        <v>449</v>
      </c>
      <c r="M68" s="175">
        <f t="shared" si="6"/>
        <v>7.1999999999999995E-2</v>
      </c>
      <c r="N68" s="175">
        <f t="shared" si="7"/>
        <v>0.48</v>
      </c>
      <c r="O68" s="175">
        <f t="shared" si="8"/>
        <v>7.2</v>
      </c>
      <c r="P68" s="175">
        <f t="shared" si="9"/>
        <v>14.4</v>
      </c>
      <c r="Q68" s="175">
        <f t="shared" si="10"/>
        <v>54</v>
      </c>
      <c r="R68" s="175">
        <f t="shared" si="11"/>
        <v>86.4</v>
      </c>
    </row>
    <row r="69" spans="4:18" x14ac:dyDescent="0.3">
      <c r="K69" s="207"/>
      <c r="L69" t="s">
        <v>450</v>
      </c>
      <c r="M69" s="175">
        <f t="shared" si="6"/>
        <v>2.8799999999999999E-2</v>
      </c>
      <c r="N69" s="175">
        <f t="shared" si="7"/>
        <v>0.192</v>
      </c>
      <c r="O69" s="175">
        <f t="shared" si="8"/>
        <v>2.88</v>
      </c>
      <c r="P69" s="175">
        <f t="shared" si="9"/>
        <v>5.76</v>
      </c>
      <c r="Q69" s="175">
        <f t="shared" si="10"/>
        <v>21.6</v>
      </c>
      <c r="R69" s="175">
        <f t="shared" si="11"/>
        <v>34.56</v>
      </c>
    </row>
    <row r="70" spans="4:18" x14ac:dyDescent="0.3">
      <c r="K70" s="208"/>
      <c r="L70" s="176" t="s">
        <v>210</v>
      </c>
      <c r="M70" s="177">
        <f t="shared" si="6"/>
        <v>4.5738335173748701E-2</v>
      </c>
      <c r="N70" s="177">
        <f t="shared" si="7"/>
        <v>0.69650657773357671</v>
      </c>
      <c r="O70" s="177">
        <f t="shared" si="8"/>
        <v>19.971514773722625</v>
      </c>
      <c r="P70" s="177">
        <f t="shared" si="9"/>
        <v>52.924514150364963</v>
      </c>
      <c r="Q70" s="177">
        <f t="shared" si="10"/>
        <v>240.0280201508516</v>
      </c>
      <c r="R70" s="177">
        <f t="shared" si="11"/>
        <v>397.06330113090024</v>
      </c>
    </row>
    <row r="71" spans="4:18" x14ac:dyDescent="0.3">
      <c r="K71" s="209" t="s">
        <v>608</v>
      </c>
      <c r="L71" t="s">
        <v>380</v>
      </c>
      <c r="M71" s="175">
        <f t="shared" si="6"/>
        <v>0</v>
      </c>
      <c r="N71" s="175">
        <f t="shared" si="7"/>
        <v>0</v>
      </c>
      <c r="O71" s="175">
        <f t="shared" si="8"/>
        <v>0</v>
      </c>
      <c r="P71" s="175">
        <f t="shared" si="9"/>
        <v>2.5698999755999998</v>
      </c>
      <c r="Q71" s="175">
        <f t="shared" si="10"/>
        <v>4.3234681812</v>
      </c>
      <c r="R71" s="175">
        <f t="shared" si="11"/>
        <v>6.4852022718000004</v>
      </c>
    </row>
    <row r="72" spans="4:18" x14ac:dyDescent="0.3">
      <c r="K72" s="210"/>
      <c r="L72" t="s">
        <v>598</v>
      </c>
      <c r="M72" s="175">
        <f t="shared" si="6"/>
        <v>0</v>
      </c>
      <c r="N72" s="175">
        <f t="shared" si="7"/>
        <v>0</v>
      </c>
      <c r="O72" s="175">
        <f t="shared" si="8"/>
        <v>0</v>
      </c>
      <c r="P72" s="175">
        <f t="shared" si="9"/>
        <v>0</v>
      </c>
      <c r="Q72" s="175">
        <f t="shared" si="10"/>
        <v>8.2236799219200005</v>
      </c>
      <c r="R72" s="175">
        <f t="shared" si="11"/>
        <v>16.447359843840001</v>
      </c>
    </row>
    <row r="73" spans="4:18" x14ac:dyDescent="0.3">
      <c r="K73" s="210"/>
      <c r="L73" t="s">
        <v>429</v>
      </c>
      <c r="M73" s="175">
        <f t="shared" si="6"/>
        <v>0</v>
      </c>
      <c r="N73" s="175">
        <f t="shared" si="7"/>
        <v>0</v>
      </c>
      <c r="O73" s="175">
        <f t="shared" si="8"/>
        <v>0</v>
      </c>
      <c r="P73" s="175">
        <f t="shared" si="9"/>
        <v>1.6875</v>
      </c>
      <c r="Q73" s="175">
        <f t="shared" si="10"/>
        <v>3.375</v>
      </c>
      <c r="R73" s="175">
        <f t="shared" si="11"/>
        <v>3.75</v>
      </c>
    </row>
    <row r="74" spans="4:18" x14ac:dyDescent="0.3">
      <c r="K74" s="211"/>
      <c r="L74" s="8" t="s">
        <v>377</v>
      </c>
      <c r="M74" s="133">
        <f t="shared" si="6"/>
        <v>0</v>
      </c>
      <c r="N74" s="133">
        <f t="shared" si="7"/>
        <v>0</v>
      </c>
      <c r="O74" s="133">
        <f t="shared" si="8"/>
        <v>0</v>
      </c>
      <c r="P74" s="133">
        <f t="shared" si="9"/>
        <v>8.815384615384616</v>
      </c>
      <c r="Q74" s="133">
        <f t="shared" si="10"/>
        <v>22.03846153846154</v>
      </c>
      <c r="R74" s="133">
        <f t="shared" si="11"/>
        <v>28.65</v>
      </c>
    </row>
    <row r="75" spans="4:18" x14ac:dyDescent="0.3">
      <c r="K75" s="184"/>
      <c r="L75" s="180" t="s">
        <v>612</v>
      </c>
      <c r="M75" s="181">
        <f>SUM(M65:M74)</f>
        <v>0.11046987244161401</v>
      </c>
      <c r="N75" s="181">
        <f t="shared" ref="N75:R75" si="12">SUM(N65:N74)</f>
        <v>0.90814978711156369</v>
      </c>
      <c r="O75" s="181">
        <f t="shared" si="12"/>
        <v>27.278800692374624</v>
      </c>
      <c r="P75" s="181">
        <f t="shared" si="12"/>
        <v>86.946139908308567</v>
      </c>
      <c r="Q75" s="181">
        <f t="shared" si="12"/>
        <v>403.39570841884415</v>
      </c>
      <c r="R75" s="181">
        <f t="shared" si="12"/>
        <v>664.59282858040092</v>
      </c>
    </row>
    <row r="84" spans="2:18" x14ac:dyDescent="0.3">
      <c r="B84" s="1" t="s">
        <v>430</v>
      </c>
      <c r="L84" s="1" t="s">
        <v>430</v>
      </c>
    </row>
    <row r="85" spans="2:18" x14ac:dyDescent="0.3">
      <c r="B85" s="19" t="s">
        <v>124</v>
      </c>
      <c r="C85" s="8">
        <f>C28</f>
        <v>15</v>
      </c>
      <c r="D85" s="8">
        <f t="shared" ref="D85:H85" si="13">D28</f>
        <v>100</v>
      </c>
      <c r="E85" s="8">
        <f t="shared" si="13"/>
        <v>1000</v>
      </c>
      <c r="F85" s="8">
        <f t="shared" si="13"/>
        <v>2000</v>
      </c>
      <c r="G85" s="8">
        <f t="shared" si="13"/>
        <v>5000</v>
      </c>
      <c r="H85" s="8">
        <f t="shared" si="13"/>
        <v>8000</v>
      </c>
      <c r="L85" s="19" t="s">
        <v>124</v>
      </c>
      <c r="M85" s="8">
        <f>C85</f>
        <v>15</v>
      </c>
      <c r="N85" s="8">
        <f t="shared" ref="N85:R85" si="14">D85</f>
        <v>100</v>
      </c>
      <c r="O85" s="8">
        <f t="shared" si="14"/>
        <v>1000</v>
      </c>
      <c r="P85" s="8">
        <f t="shared" si="14"/>
        <v>2000</v>
      </c>
      <c r="Q85" s="8">
        <f t="shared" si="14"/>
        <v>5000</v>
      </c>
      <c r="R85" s="8">
        <f t="shared" si="14"/>
        <v>8000</v>
      </c>
    </row>
    <row r="86" spans="2:18" x14ac:dyDescent="0.3">
      <c r="B86" t="s">
        <v>431</v>
      </c>
      <c r="C86" s="173">
        <f>C22</f>
        <v>-9.0714764685911456E-2</v>
      </c>
      <c r="D86" s="173">
        <f t="shared" ref="D86:H86" si="15">D22</f>
        <v>-0.60731761988437394</v>
      </c>
      <c r="E86" s="173">
        <f t="shared" si="15"/>
        <v>-14.745110132548639</v>
      </c>
      <c r="F86" s="173">
        <f t="shared" si="15"/>
        <v>-49.113320227273405</v>
      </c>
      <c r="G86" s="173">
        <f t="shared" si="15"/>
        <v>-246.76901795772577</v>
      </c>
      <c r="H86" s="173">
        <f t="shared" si="15"/>
        <v>-410.28803500570018</v>
      </c>
      <c r="L86" t="s">
        <v>431</v>
      </c>
      <c r="M86" s="173">
        <f>-C86</f>
        <v>9.0714764685911456E-2</v>
      </c>
      <c r="N86" s="173">
        <f t="shared" ref="N86:R86" si="16">-D86</f>
        <v>0.60731761988437394</v>
      </c>
      <c r="O86" s="173">
        <f t="shared" si="16"/>
        <v>14.745110132548639</v>
      </c>
      <c r="P86" s="173">
        <f t="shared" si="16"/>
        <v>49.113320227273405</v>
      </c>
      <c r="Q86" s="173">
        <f t="shared" si="16"/>
        <v>246.76901795772577</v>
      </c>
      <c r="R86" s="173">
        <f t="shared" si="16"/>
        <v>410.28803500570018</v>
      </c>
    </row>
    <row r="87" spans="2:18" x14ac:dyDescent="0.3">
      <c r="B87" t="s">
        <v>432</v>
      </c>
      <c r="C87" s="173">
        <f t="shared" ref="C87:H87" si="17">C23</f>
        <v>-0.11046987244161401</v>
      </c>
      <c r="D87" s="173">
        <f t="shared" si="17"/>
        <v>-0.90814978711156369</v>
      </c>
      <c r="E87" s="173">
        <f t="shared" si="17"/>
        <v>-27.278800692374624</v>
      </c>
      <c r="F87" s="173">
        <f t="shared" si="17"/>
        <v>-86.946139908308567</v>
      </c>
      <c r="G87" s="173">
        <f t="shared" si="17"/>
        <v>-403.39570841884415</v>
      </c>
      <c r="H87" s="173">
        <f t="shared" si="17"/>
        <v>-664.59282858040103</v>
      </c>
      <c r="L87" t="s">
        <v>432</v>
      </c>
      <c r="M87" s="173">
        <f t="shared" ref="M87:M88" si="18">-C87</f>
        <v>0.11046987244161401</v>
      </c>
      <c r="N87" s="173">
        <f t="shared" ref="N87:N88" si="19">-D87</f>
        <v>0.90814978711156369</v>
      </c>
      <c r="O87" s="173">
        <f t="shared" ref="O87:O88" si="20">-E87</f>
        <v>27.278800692374624</v>
      </c>
      <c r="P87" s="173">
        <f t="shared" ref="P87:P88" si="21">-F87</f>
        <v>86.946139908308567</v>
      </c>
      <c r="Q87" s="173">
        <f t="shared" ref="Q87:Q88" si="22">-G87</f>
        <v>403.39570841884415</v>
      </c>
      <c r="R87" s="173">
        <f t="shared" ref="R87:R88" si="23">-H87</f>
        <v>664.59282858040103</v>
      </c>
    </row>
    <row r="88" spans="2:18" x14ac:dyDescent="0.3">
      <c r="B88" t="s">
        <v>433</v>
      </c>
      <c r="C88" s="173">
        <f t="shared" ref="C88:H88" si="24">C24</f>
        <v>-0.13772022157801914</v>
      </c>
      <c r="D88" s="173">
        <f t="shared" si="24"/>
        <v>-1.3231200160659431</v>
      </c>
      <c r="E88" s="173">
        <f t="shared" si="24"/>
        <v>-45.574482009256386</v>
      </c>
      <c r="F88" s="173">
        <f t="shared" si="24"/>
        <v>-144.74968625033731</v>
      </c>
      <c r="G88" s="173">
        <f t="shared" si="24"/>
        <v>-619.16344435656413</v>
      </c>
      <c r="H88" s="173">
        <f t="shared" si="24"/>
        <v>-1062.3572193001173</v>
      </c>
      <c r="L88" t="s">
        <v>433</v>
      </c>
      <c r="M88" s="173">
        <f t="shared" si="18"/>
        <v>0.13772022157801914</v>
      </c>
      <c r="N88" s="173">
        <f t="shared" si="19"/>
        <v>1.3231200160659431</v>
      </c>
      <c r="O88" s="173">
        <f t="shared" si="20"/>
        <v>45.574482009256386</v>
      </c>
      <c r="P88" s="173">
        <f t="shared" si="21"/>
        <v>144.74968625033731</v>
      </c>
      <c r="Q88" s="173">
        <f t="shared" si="22"/>
        <v>619.16344435656413</v>
      </c>
      <c r="R88" s="173">
        <f t="shared" si="23"/>
        <v>1062.3572193001173</v>
      </c>
    </row>
    <row r="90" spans="2:18" x14ac:dyDescent="0.3">
      <c r="B90" s="8" t="s">
        <v>439</v>
      </c>
      <c r="C90" s="8">
        <f>C85</f>
        <v>15</v>
      </c>
      <c r="D90" s="8">
        <f t="shared" ref="D90:H91" si="25">D85</f>
        <v>100</v>
      </c>
      <c r="E90" s="8">
        <f t="shared" si="25"/>
        <v>1000</v>
      </c>
      <c r="F90" s="8">
        <f t="shared" si="25"/>
        <v>2000</v>
      </c>
      <c r="G90" s="8">
        <f t="shared" si="25"/>
        <v>5000</v>
      </c>
      <c r="H90" s="8">
        <f t="shared" si="25"/>
        <v>8000</v>
      </c>
      <c r="L90" s="8" t="s">
        <v>439</v>
      </c>
      <c r="M90" s="8">
        <f>M85</f>
        <v>15</v>
      </c>
      <c r="N90" s="8">
        <f t="shared" ref="N90:R90" si="26">N85</f>
        <v>100</v>
      </c>
      <c r="O90" s="8">
        <f t="shared" si="26"/>
        <v>1000</v>
      </c>
      <c r="P90" s="8">
        <f t="shared" si="26"/>
        <v>2000</v>
      </c>
      <c r="Q90" s="8">
        <f t="shared" si="26"/>
        <v>5000</v>
      </c>
      <c r="R90" s="8">
        <f t="shared" si="26"/>
        <v>8000</v>
      </c>
    </row>
    <row r="91" spans="2:18" x14ac:dyDescent="0.3">
      <c r="B91" t="s">
        <v>436</v>
      </c>
      <c r="C91" s="173">
        <f>C86</f>
        <v>-9.0714764685911456E-2</v>
      </c>
      <c r="D91" s="173">
        <f t="shared" si="25"/>
        <v>-0.60731761988437394</v>
      </c>
      <c r="E91" s="173">
        <f t="shared" si="25"/>
        <v>-14.745110132548639</v>
      </c>
      <c r="F91" s="173">
        <f t="shared" si="25"/>
        <v>-49.113320227273405</v>
      </c>
      <c r="G91" s="173">
        <f t="shared" si="25"/>
        <v>-246.76901795772577</v>
      </c>
      <c r="H91" s="173">
        <f t="shared" si="25"/>
        <v>-410.28803500570018</v>
      </c>
      <c r="L91" t="s">
        <v>436</v>
      </c>
      <c r="M91" s="173">
        <f>M86</f>
        <v>9.0714764685911456E-2</v>
      </c>
      <c r="N91" s="173">
        <f t="shared" ref="N91:R91" si="27">N86</f>
        <v>0.60731761988437394</v>
      </c>
      <c r="O91" s="173">
        <f t="shared" si="27"/>
        <v>14.745110132548639</v>
      </c>
      <c r="P91" s="173">
        <f t="shared" si="27"/>
        <v>49.113320227273405</v>
      </c>
      <c r="Q91" s="173">
        <f t="shared" si="27"/>
        <v>246.76901795772577</v>
      </c>
      <c r="R91" s="173">
        <f t="shared" si="27"/>
        <v>410.28803500570018</v>
      </c>
    </row>
    <row r="92" spans="2:18" x14ac:dyDescent="0.3">
      <c r="B92" t="s">
        <v>437</v>
      </c>
      <c r="C92" s="173">
        <f>C87-C86</f>
        <v>-1.975510775570255E-2</v>
      </c>
      <c r="D92" s="173">
        <f t="shared" ref="D92:H93" si="28">D87-D86</f>
        <v>-0.30083216722718975</v>
      </c>
      <c r="E92" s="173">
        <f t="shared" si="28"/>
        <v>-12.533690559825985</v>
      </c>
      <c r="F92" s="173">
        <f t="shared" si="28"/>
        <v>-37.832819681035161</v>
      </c>
      <c r="G92" s="173">
        <f t="shared" si="28"/>
        <v>-156.62669046111839</v>
      </c>
      <c r="H92" s="173">
        <f t="shared" si="28"/>
        <v>-254.30479357470085</v>
      </c>
      <c r="L92" t="s">
        <v>437</v>
      </c>
      <c r="M92" s="173">
        <f>M87-M86</f>
        <v>1.975510775570255E-2</v>
      </c>
      <c r="N92" s="173">
        <f t="shared" ref="N92:R92" si="29">N87-N86</f>
        <v>0.30083216722718975</v>
      </c>
      <c r="O92" s="173">
        <f t="shared" si="29"/>
        <v>12.533690559825985</v>
      </c>
      <c r="P92" s="173">
        <f t="shared" si="29"/>
        <v>37.832819681035161</v>
      </c>
      <c r="Q92" s="173">
        <f t="shared" si="29"/>
        <v>156.62669046111839</v>
      </c>
      <c r="R92" s="173">
        <f t="shared" si="29"/>
        <v>254.30479357470085</v>
      </c>
    </row>
    <row r="93" spans="2:18" x14ac:dyDescent="0.3">
      <c r="B93" s="8" t="s">
        <v>438</v>
      </c>
      <c r="C93" s="178">
        <f>C88-C87</f>
        <v>-2.725034913640513E-2</v>
      </c>
      <c r="D93" s="178">
        <f t="shared" si="28"/>
        <v>-0.41497022895437941</v>
      </c>
      <c r="E93" s="178">
        <f t="shared" si="28"/>
        <v>-18.295681316881762</v>
      </c>
      <c r="F93" s="178">
        <f t="shared" si="28"/>
        <v>-57.803546342028739</v>
      </c>
      <c r="G93" s="178">
        <f t="shared" si="28"/>
        <v>-215.76773593771998</v>
      </c>
      <c r="H93" s="178">
        <f t="shared" si="28"/>
        <v>-397.76439071971629</v>
      </c>
      <c r="L93" s="8" t="s">
        <v>438</v>
      </c>
      <c r="M93" s="178">
        <f>M88-M87</f>
        <v>2.725034913640513E-2</v>
      </c>
      <c r="N93" s="178">
        <f t="shared" ref="N93:R93" si="30">N88-N87</f>
        <v>0.41497022895437941</v>
      </c>
      <c r="O93" s="178">
        <f t="shared" si="30"/>
        <v>18.295681316881762</v>
      </c>
      <c r="P93" s="178">
        <f t="shared" si="30"/>
        <v>57.803546342028739</v>
      </c>
      <c r="Q93" s="178">
        <f t="shared" si="30"/>
        <v>215.76773593771998</v>
      </c>
      <c r="R93" s="178">
        <f t="shared" si="30"/>
        <v>397.76439071971629</v>
      </c>
    </row>
    <row r="94" spans="2:18" x14ac:dyDescent="0.3">
      <c r="B94" t="s">
        <v>611</v>
      </c>
      <c r="C94" s="173">
        <f>SUM(C91:C93)</f>
        <v>-0.13772022157801914</v>
      </c>
      <c r="D94" s="173">
        <f t="shared" ref="D94:H94" si="31">SUM(D91:D93)</f>
        <v>-1.3231200160659431</v>
      </c>
      <c r="E94" s="173">
        <f t="shared" si="31"/>
        <v>-45.574482009256386</v>
      </c>
      <c r="F94" s="173">
        <f t="shared" si="31"/>
        <v>-144.74968625033731</v>
      </c>
      <c r="G94" s="173">
        <f t="shared" si="31"/>
        <v>-619.16344435656413</v>
      </c>
      <c r="H94" s="173">
        <f t="shared" si="31"/>
        <v>-1062.3572193001173</v>
      </c>
      <c r="L94" t="s">
        <v>611</v>
      </c>
      <c r="M94" s="173">
        <f>SUM(M91:M93)</f>
        <v>0.13772022157801914</v>
      </c>
      <c r="N94" s="173">
        <f t="shared" ref="N94:R94" si="32">SUM(N91:N93)</f>
        <v>1.3231200160659431</v>
      </c>
      <c r="O94" s="173">
        <f t="shared" si="32"/>
        <v>45.574482009256386</v>
      </c>
      <c r="P94" s="173">
        <f t="shared" si="32"/>
        <v>144.74968625033731</v>
      </c>
      <c r="Q94" s="173">
        <f t="shared" si="32"/>
        <v>619.16344435656413</v>
      </c>
      <c r="R94" s="173">
        <f t="shared" si="32"/>
        <v>1062.3572193001173</v>
      </c>
    </row>
  </sheetData>
  <mergeCells count="4">
    <mergeCell ref="A29:A34"/>
    <mergeCell ref="A35:A38"/>
    <mergeCell ref="K65:K70"/>
    <mergeCell ref="K71:K74"/>
  </mergeCells>
  <pageMargins left="0.7" right="0.7" top="0.75" bottom="0.75" header="0.3" footer="0.3"/>
  <pageSetup paperSize="9" orientation="portrait" horizontalDpi="300" verticalDpi="0" copies="0" r:id="rId1"/>
  <ignoredErrors>
    <ignoredError sqref="C91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workbookViewId="0">
      <selection activeCell="C4" sqref="C4"/>
    </sheetView>
  </sheetViews>
  <sheetFormatPr defaultRowHeight="14.4" x14ac:dyDescent="0.3"/>
  <cols>
    <col min="1" max="1" width="19.88671875" customWidth="1"/>
    <col min="2" max="2" width="67.5546875" customWidth="1"/>
    <col min="3" max="3" width="18.88671875" customWidth="1"/>
    <col min="4" max="4" width="10.33203125" customWidth="1"/>
    <col min="5" max="5" width="11.5546875" customWidth="1"/>
    <col min="6" max="6" width="11.44140625" customWidth="1"/>
    <col min="7" max="7" width="13" customWidth="1"/>
    <col min="8" max="8" width="13.33203125" customWidth="1"/>
    <col min="11" max="11" width="17" customWidth="1"/>
    <col min="12" max="12" width="54.33203125" customWidth="1"/>
    <col min="13" max="13" width="10.44140625" customWidth="1"/>
  </cols>
  <sheetData>
    <row r="1" spans="1:10" x14ac:dyDescent="0.3">
      <c r="B1" s="192" t="s">
        <v>678</v>
      </c>
    </row>
    <row r="2" spans="1:10" x14ac:dyDescent="0.3">
      <c r="B2" s="1" t="s">
        <v>674</v>
      </c>
    </row>
    <row r="4" spans="1:10" ht="15" x14ac:dyDescent="0.25">
      <c r="B4" s="121" t="s">
        <v>419</v>
      </c>
    </row>
    <row r="5" spans="1:10" ht="15" x14ac:dyDescent="0.25">
      <c r="B5" s="111" t="s">
        <v>673</v>
      </c>
    </row>
    <row r="7" spans="1:10" ht="15" x14ac:dyDescent="0.25">
      <c r="B7" t="s">
        <v>173</v>
      </c>
    </row>
    <row r="8" spans="1:10" x14ac:dyDescent="0.3">
      <c r="B8" t="s">
        <v>174</v>
      </c>
    </row>
    <row r="10" spans="1:10" s="28" customFormat="1" x14ac:dyDescent="0.3">
      <c r="C10" s="22" t="s">
        <v>658</v>
      </c>
      <c r="D10"/>
    </row>
    <row r="11" spans="1:10" s="28" customFormat="1" x14ac:dyDescent="0.3">
      <c r="B11" s="19" t="s">
        <v>124</v>
      </c>
      <c r="C11" s="123">
        <v>15</v>
      </c>
      <c r="D11" s="123">
        <v>100</v>
      </c>
      <c r="E11" s="123">
        <v>1000</v>
      </c>
      <c r="F11" s="123">
        <v>2000</v>
      </c>
      <c r="G11" s="123">
        <v>5000</v>
      </c>
      <c r="H11" s="123">
        <v>8000</v>
      </c>
    </row>
    <row r="12" spans="1:10" s="28" customFormat="1" ht="15" x14ac:dyDescent="0.25">
      <c r="C12"/>
      <c r="D12"/>
    </row>
    <row r="13" spans="1:10" s="28" customFormat="1" x14ac:dyDescent="0.3">
      <c r="B13" s="190" t="s">
        <v>657</v>
      </c>
      <c r="C13"/>
      <c r="D13"/>
    </row>
    <row r="14" spans="1:10" s="28" customFormat="1" x14ac:dyDescent="0.3">
      <c r="A14" s="112" t="s">
        <v>571</v>
      </c>
      <c r="B14" s="112" t="s">
        <v>654</v>
      </c>
      <c r="C14" s="157">
        <f>Lyhyt_av_pessimist!C123</f>
        <v>-9.0714764685911456E-2</v>
      </c>
      <c r="D14" s="157">
        <f>Lyhyt_av_pessimist!D123</f>
        <v>-0.60731761988437394</v>
      </c>
      <c r="E14" s="157">
        <f>Lyhyt_av_pessimist!E123</f>
        <v>-14.745110132548639</v>
      </c>
      <c r="F14" s="157">
        <f>Lyhyt_av_pessimist!F123</f>
        <v>-42.2956779317811</v>
      </c>
      <c r="G14" s="157">
        <f>Lyhyt_av_pessimist!G123</f>
        <v>-227.226213136935</v>
      </c>
      <c r="H14" s="157">
        <f>Lyhyt_av_pessimist!H123</f>
        <v>-381.99675394788017</v>
      </c>
      <c r="I14" s="31"/>
      <c r="J14" s="31"/>
    </row>
    <row r="15" spans="1:10" s="28" customFormat="1" x14ac:dyDescent="0.3">
      <c r="A15" s="34" t="s">
        <v>386</v>
      </c>
      <c r="B15" s="34" t="s">
        <v>654</v>
      </c>
      <c r="C15" s="160">
        <f>Lyhyt_av_neutraali!C123</f>
        <v>-0.11046987244161401</v>
      </c>
      <c r="D15" s="160">
        <f>Lyhyt_av_neutraali!D123</f>
        <v>-0.90814978711156369</v>
      </c>
      <c r="E15" s="160">
        <f>Lyhyt_av_neutraali!E123</f>
        <v>-27.278800692374624</v>
      </c>
      <c r="F15" s="160">
        <f>Lyhyt_av_neutraali!F123</f>
        <v>-73.873355317323956</v>
      </c>
      <c r="G15" s="160">
        <f>Lyhyt_av_neutraali!G123</f>
        <v>-365.43509877726262</v>
      </c>
      <c r="H15" s="160">
        <f>Lyhyt_av_neutraali!H123</f>
        <v>-609.260266464761</v>
      </c>
      <c r="I15" s="31"/>
      <c r="J15" s="31"/>
    </row>
    <row r="16" spans="1:10" s="28" customFormat="1" x14ac:dyDescent="0.3">
      <c r="A16" s="112" t="s">
        <v>387</v>
      </c>
      <c r="B16" s="112" t="s">
        <v>654</v>
      </c>
      <c r="C16" s="157">
        <f>Lyhyt_av_optimist!C123</f>
        <v>-0.13772022157801914</v>
      </c>
      <c r="D16" s="157">
        <f>Lyhyt_av_optimist!D123</f>
        <v>-1.3231200160659431</v>
      </c>
      <c r="E16" s="157">
        <f>Lyhyt_av_optimist!E123</f>
        <v>-45.574482009256386</v>
      </c>
      <c r="F16" s="157">
        <f>Lyhyt_av_optimist!F123</f>
        <v>-127.69881628205729</v>
      </c>
      <c r="G16" s="157">
        <f>Lyhyt_av_optimist!G123</f>
        <v>-569.70215182250809</v>
      </c>
      <c r="H16" s="157">
        <f>Lyhyt_av_optimist!H123</f>
        <v>-990.29988854978535</v>
      </c>
      <c r="I16" s="31"/>
      <c r="J16" s="31"/>
    </row>
    <row r="17" spans="1:8" s="28" customFormat="1" ht="15" x14ac:dyDescent="0.25">
      <c r="B17" s="3"/>
      <c r="C17"/>
      <c r="D17"/>
    </row>
    <row r="18" spans="1:8" s="28" customFormat="1" x14ac:dyDescent="0.3">
      <c r="A18" s="112" t="s">
        <v>571</v>
      </c>
      <c r="B18" s="112" t="s">
        <v>655</v>
      </c>
      <c r="C18" s="157">
        <f>'Pitkä_laskenta-aputaulu'!C148</f>
        <v>0</v>
      </c>
      <c r="D18" s="157">
        <f>'Pitkä_laskenta-aputaulu'!D148</f>
        <v>0</v>
      </c>
      <c r="E18" s="157">
        <f>'Pitkä_laskenta-aputaulu'!E148</f>
        <v>0</v>
      </c>
      <c r="F18" s="157">
        <f>'Pitkä_laskenta-aputaulu'!F148</f>
        <v>-6.8176422954923082</v>
      </c>
      <c r="G18" s="157">
        <f>'Pitkä_laskenta-aputaulu'!G148</f>
        <v>-19.542804820790771</v>
      </c>
      <c r="H18" s="157">
        <f>'Pitkä_laskenta-aputaulu'!H148</f>
        <v>-28.291281057820001</v>
      </c>
    </row>
    <row r="19" spans="1:8" s="28" customFormat="1" x14ac:dyDescent="0.3">
      <c r="A19" s="34" t="s">
        <v>386</v>
      </c>
      <c r="B19" s="49" t="s">
        <v>655</v>
      </c>
      <c r="C19" s="160">
        <f>'Pitkä_laskenta-aputaulu'!C149</f>
        <v>0</v>
      </c>
      <c r="D19" s="160">
        <f>'Pitkä_laskenta-aputaulu'!D149</f>
        <v>0</v>
      </c>
      <c r="E19" s="160">
        <f>'Pitkä_laskenta-aputaulu'!E149</f>
        <v>0</v>
      </c>
      <c r="F19" s="160">
        <f>'Pitkä_laskenta-aputaulu'!F149</f>
        <v>-13.072784590984616</v>
      </c>
      <c r="G19" s="160">
        <f>'Pitkä_laskenta-aputaulu'!G149</f>
        <v>-37.960609641581541</v>
      </c>
      <c r="H19" s="160">
        <f>'Pitkä_laskenta-aputaulu'!H149</f>
        <v>-55.332562115640002</v>
      </c>
    </row>
    <row r="20" spans="1:8" s="28" customFormat="1" x14ac:dyDescent="0.3">
      <c r="A20" s="112" t="s">
        <v>387</v>
      </c>
      <c r="B20" s="112" t="s">
        <v>655</v>
      </c>
      <c r="C20" s="157">
        <f>'Pitkä_laskenta-aputaulu'!C150</f>
        <v>0</v>
      </c>
      <c r="D20" s="157">
        <f>'Pitkä_laskenta-aputaulu'!D150</f>
        <v>0</v>
      </c>
      <c r="E20" s="157">
        <f>'Pitkä_laskenta-aputaulu'!E150</f>
        <v>0</v>
      </c>
      <c r="F20" s="157">
        <f>'Pitkä_laskenta-aputaulu'!F150</f>
        <v>-17.050869968280001</v>
      </c>
      <c r="G20" s="157">
        <f>'Pitkä_laskenta-aputaulu'!G150</f>
        <v>-49.461292534056</v>
      </c>
      <c r="H20" s="157">
        <f>'Pitkä_laskenta-aputaulu'!H150</f>
        <v>-72.057330750332</v>
      </c>
    </row>
    <row r="21" spans="1:8" s="28" customFormat="1" ht="15" x14ac:dyDescent="0.25">
      <c r="A21" s="31"/>
      <c r="B21" s="31"/>
      <c r="C21" s="163"/>
      <c r="D21" s="163"/>
      <c r="E21" s="163"/>
      <c r="F21" s="163"/>
      <c r="G21" s="163"/>
      <c r="H21" s="163"/>
    </row>
    <row r="22" spans="1:8" s="28" customFormat="1" x14ac:dyDescent="0.3">
      <c r="A22" s="112" t="s">
        <v>571</v>
      </c>
      <c r="B22" s="112" t="s">
        <v>667</v>
      </c>
      <c r="C22" s="157">
        <f>ShL_VpL!I17/1000000</f>
        <v>0</v>
      </c>
      <c r="D22" s="157">
        <f>ShL_VpL!J17/1000000</f>
        <v>-1.656147</v>
      </c>
      <c r="E22" s="157">
        <f>ShL_VpL!K17/1000000</f>
        <v>-4.1403675</v>
      </c>
      <c r="F22" s="157">
        <f>ShL_VpL!L17/1000000</f>
        <v>-8.280735</v>
      </c>
      <c r="G22" s="157">
        <f>ShL_VpL!M17/1000000</f>
        <v>-8.280735</v>
      </c>
      <c r="H22" s="157">
        <f>ShL_VpL!N17/1000000</f>
        <v>-8.280735</v>
      </c>
    </row>
    <row r="23" spans="1:8" s="28" customFormat="1" x14ac:dyDescent="0.3">
      <c r="A23" s="34" t="s">
        <v>386</v>
      </c>
      <c r="B23" s="49" t="s">
        <v>667</v>
      </c>
      <c r="C23" s="160">
        <f>ShL_VpL!I19/1000000</f>
        <v>0</v>
      </c>
      <c r="D23" s="160">
        <f>ShL_VpL!J19/1000000</f>
        <v>-9.9005998000000002</v>
      </c>
      <c r="E23" s="160">
        <f>ShL_VpL!K19/1000000</f>
        <v>-24.751499500000001</v>
      </c>
      <c r="F23" s="160">
        <f>ShL_VpL!L19/1000000</f>
        <v>-49.502999000000003</v>
      </c>
      <c r="G23" s="160">
        <f>ShL_VpL!M19/1000000</f>
        <v>-49.502999000000003</v>
      </c>
      <c r="H23" s="160">
        <f>ShL_VpL!N19/1000000</f>
        <v>-49.502999000000003</v>
      </c>
    </row>
    <row r="24" spans="1:8" s="28" customFormat="1" x14ac:dyDescent="0.3">
      <c r="A24" s="112" t="s">
        <v>387</v>
      </c>
      <c r="B24" s="112" t="s">
        <v>667</v>
      </c>
      <c r="C24" s="157">
        <f>ShL_VpL!I20/1000000</f>
        <v>0</v>
      </c>
      <c r="D24" s="157">
        <f>ShL_VpL!J20/1000000</f>
        <v>-24.751499500000001</v>
      </c>
      <c r="E24" s="157">
        <f>ShL_VpL!K20/1000000</f>
        <v>-49.502999000000003</v>
      </c>
      <c r="F24" s="157">
        <f>ShL_VpL!L20/1000000</f>
        <v>-49.502999000000003</v>
      </c>
      <c r="G24" s="157">
        <f>ShL_VpL!M20/1000000</f>
        <v>-49.502999000000003</v>
      </c>
      <c r="H24" s="157">
        <f>ShL_VpL!N20/1000000</f>
        <v>-49.502999000000003</v>
      </c>
    </row>
    <row r="25" spans="1:8" s="28" customFormat="1" ht="15" x14ac:dyDescent="0.25">
      <c r="A25" s="123"/>
      <c r="B25" s="174"/>
      <c r="C25" s="8"/>
      <c r="D25" s="8"/>
      <c r="E25" s="123"/>
      <c r="F25" s="123"/>
      <c r="G25" s="123"/>
      <c r="H25" s="123"/>
    </row>
    <row r="26" spans="1:8" s="28" customFormat="1" x14ac:dyDescent="0.3">
      <c r="A26" s="112" t="s">
        <v>571</v>
      </c>
      <c r="B26" s="112" t="s">
        <v>670</v>
      </c>
      <c r="C26" s="157">
        <f>C14+C18+C22</f>
        <v>-9.0714764685911456E-2</v>
      </c>
      <c r="D26" s="157">
        <f t="shared" ref="D26:H26" si="0">D14+D18+D22</f>
        <v>-2.263464619884374</v>
      </c>
      <c r="E26" s="157">
        <f t="shared" si="0"/>
        <v>-18.885477632548639</v>
      </c>
      <c r="F26" s="157">
        <f t="shared" si="0"/>
        <v>-57.394055227273405</v>
      </c>
      <c r="G26" s="157">
        <f t="shared" si="0"/>
        <v>-255.04975295772576</v>
      </c>
      <c r="H26" s="157">
        <f t="shared" si="0"/>
        <v>-418.56877000570017</v>
      </c>
    </row>
    <row r="27" spans="1:8" s="28" customFormat="1" x14ac:dyDescent="0.3">
      <c r="A27" s="34" t="s">
        <v>386</v>
      </c>
      <c r="B27" s="49" t="s">
        <v>670</v>
      </c>
      <c r="C27" s="160">
        <f>C15+C19+C23</f>
        <v>-0.11046987244161401</v>
      </c>
      <c r="D27" s="160">
        <f t="shared" ref="D27:H27" si="1">D15+D19+D23</f>
        <v>-10.808749587111564</v>
      </c>
      <c r="E27" s="160">
        <f t="shared" si="1"/>
        <v>-52.030300192374625</v>
      </c>
      <c r="F27" s="160">
        <f t="shared" si="1"/>
        <v>-136.44913890830856</v>
      </c>
      <c r="G27" s="160">
        <f t="shared" si="1"/>
        <v>-452.89870741884414</v>
      </c>
      <c r="H27" s="160">
        <f t="shared" si="1"/>
        <v>-714.09582758040108</v>
      </c>
    </row>
    <row r="28" spans="1:8" x14ac:dyDescent="0.3">
      <c r="A28" s="112" t="s">
        <v>387</v>
      </c>
      <c r="B28" s="112" t="s">
        <v>670</v>
      </c>
      <c r="C28" s="157">
        <f>C16+C20+C24</f>
        <v>-0.13772022157801914</v>
      </c>
      <c r="D28" s="157">
        <f t="shared" ref="D28:H28" si="2">D16+D20+D24</f>
        <v>-26.074619516065944</v>
      </c>
      <c r="E28" s="157">
        <f t="shared" si="2"/>
        <v>-95.077481009256388</v>
      </c>
      <c r="F28" s="157">
        <f t="shared" si="2"/>
        <v>-194.25268525033732</v>
      </c>
      <c r="G28" s="157">
        <f t="shared" si="2"/>
        <v>-668.66644335656417</v>
      </c>
      <c r="H28" s="157">
        <f t="shared" si="2"/>
        <v>-1111.8602183001174</v>
      </c>
    </row>
    <row r="29" spans="1:8" ht="15" x14ac:dyDescent="0.25">
      <c r="A29" s="31"/>
      <c r="B29" s="31"/>
      <c r="C29" s="163"/>
      <c r="D29" s="163"/>
      <c r="E29" s="163"/>
      <c r="F29" s="163"/>
      <c r="G29" s="163"/>
      <c r="H29" s="163"/>
    </row>
    <row r="31" spans="1:8" x14ac:dyDescent="0.3">
      <c r="B31" s="1" t="s">
        <v>440</v>
      </c>
      <c r="C31" s="6" t="s">
        <v>615</v>
      </c>
      <c r="D31" s="6"/>
      <c r="E31" s="6"/>
      <c r="F31" s="6"/>
      <c r="G31" s="6"/>
      <c r="H31" s="6"/>
    </row>
    <row r="32" spans="1:8" x14ac:dyDescent="0.3">
      <c r="A32" s="8"/>
      <c r="B32" s="19" t="s">
        <v>124</v>
      </c>
      <c r="C32" s="8">
        <f t="shared" ref="C32:H32" si="3">C11</f>
        <v>15</v>
      </c>
      <c r="D32" s="8">
        <f t="shared" si="3"/>
        <v>100</v>
      </c>
      <c r="E32" s="8">
        <f t="shared" si="3"/>
        <v>1000</v>
      </c>
      <c r="F32" s="8">
        <f t="shared" si="3"/>
        <v>2000</v>
      </c>
      <c r="G32" s="8">
        <f t="shared" si="3"/>
        <v>5000</v>
      </c>
      <c r="H32" s="8">
        <f t="shared" si="3"/>
        <v>8000</v>
      </c>
    </row>
    <row r="33" spans="1:10" x14ac:dyDescent="0.3">
      <c r="A33" s="206" t="s">
        <v>610</v>
      </c>
      <c r="B33" s="195" t="s">
        <v>180</v>
      </c>
      <c r="C33" s="196">
        <f>Lyhyt_av_neutraali!C117</f>
        <v>2.1463573037580001E-2</v>
      </c>
      <c r="D33" s="196">
        <f>Lyhyt_av_neutraali!D117</f>
        <v>0.26642874715799403</v>
      </c>
      <c r="E33" s="196">
        <f>Lyhyt_av_neutraali!E117</f>
        <v>0.13882708540799935</v>
      </c>
      <c r="F33" s="196">
        <f>Lyhyt_av_neutraali!F117</f>
        <v>-5.839062176591999</v>
      </c>
      <c r="G33" s="196">
        <f>Lyhyt_av_neutraali!G117</f>
        <v>-56.413247202395993</v>
      </c>
      <c r="H33" s="196">
        <f>Lyhyt_av_neutraali!H117</f>
        <v>-99.26031137393278</v>
      </c>
    </row>
    <row r="34" spans="1:10" x14ac:dyDescent="0.3">
      <c r="A34" s="207"/>
      <c r="B34" s="104" t="s">
        <v>181</v>
      </c>
      <c r="C34" s="175">
        <f>Lyhyt_av_neutraali!C118</f>
        <v>1.3182997975804691E-2</v>
      </c>
      <c r="D34" s="175">
        <f>Lyhyt_av_neutraali!D118</f>
        <v>0.17553771173151902</v>
      </c>
      <c r="E34" s="175">
        <f>Lyhyt_av_neutraali!E118</f>
        <v>2.4462477959400006</v>
      </c>
      <c r="F34" s="175">
        <f>Lyhyt_av_neutraali!F118</f>
        <v>4.8015990696329993</v>
      </c>
      <c r="G34" s="175">
        <f>Lyhyt_av_neutraali!G118</f>
        <v>7.2031187759850006</v>
      </c>
      <c r="H34" s="175">
        <f>Lyhyt_av_neutraali!H118</f>
        <v>9.3400090800720044</v>
      </c>
    </row>
    <row r="35" spans="1:10" x14ac:dyDescent="0.3">
      <c r="A35" s="207"/>
      <c r="B35" s="104" t="s">
        <v>182</v>
      </c>
      <c r="C35" s="175">
        <f>Lyhyt_av_neutraali!C119</f>
        <v>1.4218917187499998E-3</v>
      </c>
      <c r="D35" s="175">
        <f>Lyhyt_av_neutraali!D119</f>
        <v>1.8390331732499998E-2</v>
      </c>
      <c r="E35" s="175">
        <f>Lyhyt_av_neutraali!E119</f>
        <v>0.18763919999999998</v>
      </c>
      <c r="F35" s="175">
        <f>Lyhyt_av_neutraali!F119</f>
        <v>0.24862193999999999</v>
      </c>
      <c r="G35" s="175">
        <f>Lyhyt_av_neutraali!G119</f>
        <v>-0.59695019999999999</v>
      </c>
      <c r="H35" s="175">
        <f>Lyhyt_av_neutraali!H119</f>
        <v>-1.3166630399999999</v>
      </c>
    </row>
    <row r="36" spans="1:10" x14ac:dyDescent="0.3">
      <c r="A36" s="207"/>
      <c r="B36" s="104" t="s">
        <v>449</v>
      </c>
      <c r="C36" s="175">
        <f>Lyhyt_av_neutraali!C120</f>
        <v>-7.1999999999999995E-2</v>
      </c>
      <c r="D36" s="175">
        <f>Lyhyt_av_neutraali!D120</f>
        <v>-0.48</v>
      </c>
      <c r="E36" s="175">
        <f>Lyhyt_av_neutraali!E120</f>
        <v>-7.2</v>
      </c>
      <c r="F36" s="175">
        <f>Lyhyt_av_neutraali!F120</f>
        <v>-14.4</v>
      </c>
      <c r="G36" s="175">
        <f>Lyhyt_av_neutraali!G120</f>
        <v>-54</v>
      </c>
      <c r="H36" s="175">
        <f>Lyhyt_av_neutraali!H120</f>
        <v>-86.4</v>
      </c>
    </row>
    <row r="37" spans="1:10" x14ac:dyDescent="0.3">
      <c r="A37" s="207"/>
      <c r="B37" s="104" t="s">
        <v>450</v>
      </c>
      <c r="C37" s="175">
        <f>Lyhyt_av_neutraali!C121</f>
        <v>-2.8799999999999999E-2</v>
      </c>
      <c r="D37" s="175">
        <f>Lyhyt_av_neutraali!D121</f>
        <v>-0.192</v>
      </c>
      <c r="E37" s="175">
        <f>Lyhyt_av_neutraali!E121</f>
        <v>-2.88</v>
      </c>
      <c r="F37" s="175">
        <f>Lyhyt_av_neutraali!F121</f>
        <v>-5.76</v>
      </c>
      <c r="G37" s="175">
        <f>Lyhyt_av_neutraali!G121</f>
        <v>-21.6</v>
      </c>
      <c r="H37" s="175">
        <f>Lyhyt_av_neutraali!H121</f>
        <v>-34.56</v>
      </c>
    </row>
    <row r="38" spans="1:10" x14ac:dyDescent="0.3">
      <c r="A38" s="212"/>
      <c r="B38" s="8" t="s">
        <v>210</v>
      </c>
      <c r="C38" s="133">
        <f>Lyhyt_av_neutraali!C122</f>
        <v>-4.5738335173748701E-2</v>
      </c>
      <c r="D38" s="133">
        <f>Lyhyt_av_neutraali!D122</f>
        <v>-0.69650657773357671</v>
      </c>
      <c r="E38" s="133">
        <f>Lyhyt_av_neutraali!E122</f>
        <v>-19.971514773722625</v>
      </c>
      <c r="F38" s="133">
        <f>Lyhyt_av_neutraali!F122</f>
        <v>-52.924514150364963</v>
      </c>
      <c r="G38" s="133">
        <f>Lyhyt_av_neutraali!G122</f>
        <v>-240.0280201508516</v>
      </c>
      <c r="H38" s="133">
        <f>Lyhyt_av_neutraali!H122</f>
        <v>-397.06330113090024</v>
      </c>
    </row>
    <row r="39" spans="1:10" ht="15" customHeight="1" x14ac:dyDescent="0.3">
      <c r="A39" s="213" t="s">
        <v>608</v>
      </c>
      <c r="B39" s="195" t="s">
        <v>380</v>
      </c>
      <c r="C39" s="196">
        <f>'Pitkä_laskenta-aputaulu'!C120</f>
        <v>0</v>
      </c>
      <c r="D39" s="196">
        <f>'Pitkä_laskenta-aputaulu'!D120</f>
        <v>0</v>
      </c>
      <c r="E39" s="196">
        <f>'Pitkä_laskenta-aputaulu'!E120</f>
        <v>0</v>
      </c>
      <c r="F39" s="196">
        <f>'Pitkä_laskenta-aputaulu'!F120</f>
        <v>-2.5698999755999998</v>
      </c>
      <c r="G39" s="196">
        <f>'Pitkä_laskenta-aputaulu'!G120</f>
        <v>-4.3234681812</v>
      </c>
      <c r="H39" s="196">
        <f>'Pitkä_laskenta-aputaulu'!H120</f>
        <v>-6.4852022718000004</v>
      </c>
      <c r="J39" t="s">
        <v>173</v>
      </c>
    </row>
    <row r="40" spans="1:10" x14ac:dyDescent="0.3">
      <c r="A40" s="210"/>
      <c r="B40" s="104" t="s">
        <v>598</v>
      </c>
      <c r="C40" s="175">
        <f>'Pitkä_laskenta-aputaulu'!C121</f>
        <v>0</v>
      </c>
      <c r="D40" s="175">
        <f>'Pitkä_laskenta-aputaulu'!D121</f>
        <v>0</v>
      </c>
      <c r="E40" s="175">
        <f>'Pitkä_laskenta-aputaulu'!E121</f>
        <v>0</v>
      </c>
      <c r="F40" s="175">
        <f>'Pitkä_laskenta-aputaulu'!F121</f>
        <v>0</v>
      </c>
      <c r="G40" s="175">
        <f>'Pitkä_laskenta-aputaulu'!G121</f>
        <v>-8.2236799219200005</v>
      </c>
      <c r="H40" s="175">
        <f>'Pitkä_laskenta-aputaulu'!H121</f>
        <v>-16.447359843840001</v>
      </c>
      <c r="J40" t="s">
        <v>174</v>
      </c>
    </row>
    <row r="41" spans="1:10" x14ac:dyDescent="0.3">
      <c r="A41" s="210"/>
      <c r="B41" s="104" t="s">
        <v>429</v>
      </c>
      <c r="C41" s="175">
        <f>'Pitkä_laskenta-aputaulu'!C122</f>
        <v>0</v>
      </c>
      <c r="D41" s="175">
        <f>'Pitkä_laskenta-aputaulu'!D122</f>
        <v>0</v>
      </c>
      <c r="E41" s="175">
        <f>'Pitkä_laskenta-aputaulu'!E122</f>
        <v>0</v>
      </c>
      <c r="F41" s="175">
        <f>'Pitkä_laskenta-aputaulu'!F122</f>
        <v>-1.6875</v>
      </c>
      <c r="G41" s="175">
        <f>'Pitkä_laskenta-aputaulu'!G122</f>
        <v>-3.375</v>
      </c>
      <c r="H41" s="175">
        <f>'Pitkä_laskenta-aputaulu'!H122</f>
        <v>-3.75</v>
      </c>
    </row>
    <row r="42" spans="1:10" x14ac:dyDescent="0.3">
      <c r="A42" s="211"/>
      <c r="B42" s="8" t="s">
        <v>377</v>
      </c>
      <c r="C42" s="133">
        <f>'Pitkä_laskenta-aputaulu'!C123</f>
        <v>0</v>
      </c>
      <c r="D42" s="133">
        <f>'Pitkä_laskenta-aputaulu'!D123</f>
        <v>0</v>
      </c>
      <c r="E42" s="133">
        <f>'Pitkä_laskenta-aputaulu'!E123</f>
        <v>0</v>
      </c>
      <c r="F42" s="133">
        <f>'Pitkä_laskenta-aputaulu'!F123</f>
        <v>-8.815384615384616</v>
      </c>
      <c r="G42" s="133">
        <f>'Pitkä_laskenta-aputaulu'!G123</f>
        <v>-22.03846153846154</v>
      </c>
      <c r="H42" s="133">
        <f>'Pitkä_laskenta-aputaulu'!H123</f>
        <v>-28.65</v>
      </c>
    </row>
    <row r="43" spans="1:10" x14ac:dyDescent="0.3">
      <c r="A43" s="185" t="s">
        <v>672</v>
      </c>
      <c r="B43" s="197" t="s">
        <v>671</v>
      </c>
      <c r="C43" s="178">
        <f>C23</f>
        <v>0</v>
      </c>
      <c r="D43" s="178">
        <f t="shared" ref="D43:H43" si="4">D23</f>
        <v>-9.9005998000000002</v>
      </c>
      <c r="E43" s="178">
        <f t="shared" si="4"/>
        <v>-24.751499500000001</v>
      </c>
      <c r="F43" s="178">
        <f t="shared" si="4"/>
        <v>-49.502999000000003</v>
      </c>
      <c r="G43" s="178">
        <f t="shared" si="4"/>
        <v>-49.502999000000003</v>
      </c>
      <c r="H43" s="178">
        <f t="shared" si="4"/>
        <v>-49.502999000000003</v>
      </c>
    </row>
    <row r="44" spans="1:10" x14ac:dyDescent="0.3">
      <c r="A44" s="184"/>
      <c r="B44" s="180" t="s">
        <v>612</v>
      </c>
      <c r="C44" s="181">
        <f>SUM(C33:C43)</f>
        <v>-0.11046987244161401</v>
      </c>
      <c r="D44" s="181">
        <f t="shared" ref="D44:H44" si="5">SUM(D33:D43)</f>
        <v>-10.808749587111564</v>
      </c>
      <c r="E44" s="181">
        <f t="shared" si="5"/>
        <v>-52.030300192374625</v>
      </c>
      <c r="F44" s="181">
        <f t="shared" si="5"/>
        <v>-136.44913890830856</v>
      </c>
      <c r="G44" s="181">
        <f t="shared" si="5"/>
        <v>-452.89870741884414</v>
      </c>
      <c r="H44" s="181">
        <f t="shared" si="5"/>
        <v>-714.09582758040096</v>
      </c>
    </row>
    <row r="46" spans="1:10" x14ac:dyDescent="0.3">
      <c r="B46" s="22" t="s">
        <v>663</v>
      </c>
    </row>
    <row r="48" spans="1:10" ht="15" x14ac:dyDescent="0.25">
      <c r="J48" t="s">
        <v>173</v>
      </c>
    </row>
    <row r="49" spans="10:12" x14ac:dyDescent="0.3">
      <c r="J49" t="s">
        <v>174</v>
      </c>
    </row>
    <row r="64" spans="10:12" x14ac:dyDescent="0.3">
      <c r="L64" t="s">
        <v>665</v>
      </c>
    </row>
    <row r="67" spans="2:18" x14ac:dyDescent="0.3">
      <c r="B67" s="22" t="s">
        <v>662</v>
      </c>
      <c r="D67" s="191" t="s">
        <v>664</v>
      </c>
      <c r="E67" s="191"/>
    </row>
    <row r="68" spans="2:18" ht="28.8" x14ac:dyDescent="0.3">
      <c r="D68" s="191" t="s">
        <v>659</v>
      </c>
      <c r="E68" s="191"/>
      <c r="F68" s="191"/>
      <c r="G68" s="191"/>
      <c r="H68" s="191"/>
      <c r="L68" s="1" t="s">
        <v>440</v>
      </c>
      <c r="M68" s="6" t="s">
        <v>615</v>
      </c>
      <c r="N68" s="6"/>
      <c r="O68" s="6"/>
      <c r="P68" s="6"/>
      <c r="Q68" s="6"/>
      <c r="R68" s="6"/>
    </row>
    <row r="69" spans="2:18" x14ac:dyDescent="0.3">
      <c r="D69" s="191" t="s">
        <v>660</v>
      </c>
      <c r="E69" s="191"/>
      <c r="F69" s="191"/>
      <c r="G69" s="191"/>
      <c r="H69" s="191"/>
      <c r="K69" s="8"/>
      <c r="L69" s="19" t="s">
        <v>124</v>
      </c>
      <c r="M69" s="8">
        <f>C32</f>
        <v>15</v>
      </c>
      <c r="N69" s="8">
        <f t="shared" ref="N69:R69" si="6">D32</f>
        <v>100</v>
      </c>
      <c r="O69" s="8">
        <f t="shared" si="6"/>
        <v>1000</v>
      </c>
      <c r="P69" s="8">
        <f t="shared" si="6"/>
        <v>2000</v>
      </c>
      <c r="Q69" s="8">
        <f t="shared" si="6"/>
        <v>5000</v>
      </c>
      <c r="R69" s="8">
        <f t="shared" si="6"/>
        <v>8000</v>
      </c>
    </row>
    <row r="70" spans="2:18" x14ac:dyDescent="0.3">
      <c r="D70" s="198" t="s">
        <v>661</v>
      </c>
      <c r="E70" s="191"/>
      <c r="F70" s="191"/>
      <c r="G70" s="191"/>
      <c r="H70" s="191"/>
      <c r="K70" s="206" t="s">
        <v>610</v>
      </c>
      <c r="L70" t="s">
        <v>180</v>
      </c>
      <c r="M70" s="175">
        <f t="shared" ref="M70:M79" si="7">-C33</f>
        <v>-2.1463573037580001E-2</v>
      </c>
      <c r="N70" s="175">
        <f t="shared" ref="N70:N79" si="8">-D33</f>
        <v>-0.26642874715799403</v>
      </c>
      <c r="O70" s="175">
        <f t="shared" ref="O70:O79" si="9">-E33</f>
        <v>-0.13882708540799935</v>
      </c>
      <c r="P70" s="175">
        <f t="shared" ref="P70:P79" si="10">-F33</f>
        <v>5.839062176591999</v>
      </c>
      <c r="Q70" s="175">
        <f t="shared" ref="Q70:Q79" si="11">-G33</f>
        <v>56.413247202395993</v>
      </c>
      <c r="R70" s="175">
        <f t="shared" ref="R70:R79" si="12">-H33</f>
        <v>99.26031137393278</v>
      </c>
    </row>
    <row r="71" spans="2:18" x14ac:dyDescent="0.3">
      <c r="K71" s="207"/>
      <c r="L71" t="s">
        <v>181</v>
      </c>
      <c r="M71" s="175">
        <f t="shared" si="7"/>
        <v>-1.3182997975804691E-2</v>
      </c>
      <c r="N71" s="175">
        <f t="shared" si="8"/>
        <v>-0.17553771173151902</v>
      </c>
      <c r="O71" s="175">
        <f t="shared" si="9"/>
        <v>-2.4462477959400006</v>
      </c>
      <c r="P71" s="175">
        <f t="shared" si="10"/>
        <v>-4.8015990696329993</v>
      </c>
      <c r="Q71" s="175">
        <f t="shared" si="11"/>
        <v>-7.2031187759850006</v>
      </c>
      <c r="R71" s="175">
        <f t="shared" si="12"/>
        <v>-9.3400090800720044</v>
      </c>
    </row>
    <row r="72" spans="2:18" x14ac:dyDescent="0.3">
      <c r="K72" s="207"/>
      <c r="L72" t="s">
        <v>182</v>
      </c>
      <c r="M72" s="175">
        <f t="shared" si="7"/>
        <v>-1.4218917187499998E-3</v>
      </c>
      <c r="N72" s="175">
        <f t="shared" si="8"/>
        <v>-1.8390331732499998E-2</v>
      </c>
      <c r="O72" s="175">
        <f t="shared" si="9"/>
        <v>-0.18763919999999998</v>
      </c>
      <c r="P72" s="175">
        <f t="shared" si="10"/>
        <v>-0.24862193999999999</v>
      </c>
      <c r="Q72" s="175">
        <f t="shared" si="11"/>
        <v>0.59695019999999999</v>
      </c>
      <c r="R72" s="175">
        <f t="shared" si="12"/>
        <v>1.3166630399999999</v>
      </c>
    </row>
    <row r="73" spans="2:18" x14ac:dyDescent="0.3">
      <c r="K73" s="207"/>
      <c r="L73" t="s">
        <v>449</v>
      </c>
      <c r="M73" s="175">
        <f t="shared" si="7"/>
        <v>7.1999999999999995E-2</v>
      </c>
      <c r="N73" s="175">
        <f t="shared" si="8"/>
        <v>0.48</v>
      </c>
      <c r="O73" s="175">
        <f t="shared" si="9"/>
        <v>7.2</v>
      </c>
      <c r="P73" s="175">
        <f t="shared" si="10"/>
        <v>14.4</v>
      </c>
      <c r="Q73" s="175">
        <f t="shared" si="11"/>
        <v>54</v>
      </c>
      <c r="R73" s="175">
        <f t="shared" si="12"/>
        <v>86.4</v>
      </c>
    </row>
    <row r="74" spans="2:18" x14ac:dyDescent="0.3">
      <c r="K74" s="207"/>
      <c r="L74" t="s">
        <v>450</v>
      </c>
      <c r="M74" s="175">
        <f t="shared" si="7"/>
        <v>2.8799999999999999E-2</v>
      </c>
      <c r="N74" s="175">
        <f t="shared" si="8"/>
        <v>0.192</v>
      </c>
      <c r="O74" s="175">
        <f t="shared" si="9"/>
        <v>2.88</v>
      </c>
      <c r="P74" s="175">
        <f t="shared" si="10"/>
        <v>5.76</v>
      </c>
      <c r="Q74" s="175">
        <f t="shared" si="11"/>
        <v>21.6</v>
      </c>
      <c r="R74" s="175">
        <f t="shared" si="12"/>
        <v>34.56</v>
      </c>
    </row>
    <row r="75" spans="2:18" x14ac:dyDescent="0.3">
      <c r="K75" s="208"/>
      <c r="L75" s="176" t="s">
        <v>210</v>
      </c>
      <c r="M75" s="177">
        <f t="shared" si="7"/>
        <v>4.5738335173748701E-2</v>
      </c>
      <c r="N75" s="177">
        <f t="shared" si="8"/>
        <v>0.69650657773357671</v>
      </c>
      <c r="O75" s="177">
        <f t="shared" si="9"/>
        <v>19.971514773722625</v>
      </c>
      <c r="P75" s="177">
        <f t="shared" si="10"/>
        <v>52.924514150364963</v>
      </c>
      <c r="Q75" s="177">
        <f t="shared" si="11"/>
        <v>240.0280201508516</v>
      </c>
      <c r="R75" s="177">
        <f t="shared" si="12"/>
        <v>397.06330113090024</v>
      </c>
    </row>
    <row r="76" spans="2:18" x14ac:dyDescent="0.3">
      <c r="K76" s="209" t="s">
        <v>608</v>
      </c>
      <c r="L76" t="s">
        <v>380</v>
      </c>
      <c r="M76" s="175">
        <f t="shared" si="7"/>
        <v>0</v>
      </c>
      <c r="N76" s="175">
        <f t="shared" si="8"/>
        <v>0</v>
      </c>
      <c r="O76" s="175">
        <f t="shared" si="9"/>
        <v>0</v>
      </c>
      <c r="P76" s="175">
        <f t="shared" si="10"/>
        <v>2.5698999755999998</v>
      </c>
      <c r="Q76" s="175">
        <f t="shared" si="11"/>
        <v>4.3234681812</v>
      </c>
      <c r="R76" s="175">
        <f t="shared" si="12"/>
        <v>6.4852022718000004</v>
      </c>
    </row>
    <row r="77" spans="2:18" x14ac:dyDescent="0.3">
      <c r="K77" s="210"/>
      <c r="L77" t="s">
        <v>598</v>
      </c>
      <c r="M77" s="175">
        <f t="shared" si="7"/>
        <v>0</v>
      </c>
      <c r="N77" s="175">
        <f t="shared" si="8"/>
        <v>0</v>
      </c>
      <c r="O77" s="175">
        <f t="shared" si="9"/>
        <v>0</v>
      </c>
      <c r="P77" s="175">
        <f t="shared" si="10"/>
        <v>0</v>
      </c>
      <c r="Q77" s="175">
        <f t="shared" si="11"/>
        <v>8.2236799219200005</v>
      </c>
      <c r="R77" s="175">
        <f t="shared" si="12"/>
        <v>16.447359843840001</v>
      </c>
    </row>
    <row r="78" spans="2:18" x14ac:dyDescent="0.3">
      <c r="K78" s="210"/>
      <c r="L78" t="s">
        <v>429</v>
      </c>
      <c r="M78" s="175">
        <f t="shared" si="7"/>
        <v>0</v>
      </c>
      <c r="N78" s="175">
        <f t="shared" si="8"/>
        <v>0</v>
      </c>
      <c r="O78" s="175">
        <f t="shared" si="9"/>
        <v>0</v>
      </c>
      <c r="P78" s="175">
        <f t="shared" si="10"/>
        <v>1.6875</v>
      </c>
      <c r="Q78" s="175">
        <f t="shared" si="11"/>
        <v>3.375</v>
      </c>
      <c r="R78" s="175">
        <f t="shared" si="12"/>
        <v>3.75</v>
      </c>
    </row>
    <row r="79" spans="2:18" x14ac:dyDescent="0.3">
      <c r="K79" s="211"/>
      <c r="L79" s="8" t="s">
        <v>377</v>
      </c>
      <c r="M79" s="133">
        <f t="shared" si="7"/>
        <v>0</v>
      </c>
      <c r="N79" s="133">
        <f t="shared" si="8"/>
        <v>0</v>
      </c>
      <c r="O79" s="133">
        <f t="shared" si="9"/>
        <v>0</v>
      </c>
      <c r="P79" s="133">
        <f t="shared" si="10"/>
        <v>8.815384615384616</v>
      </c>
      <c r="Q79" s="133">
        <f t="shared" si="11"/>
        <v>22.03846153846154</v>
      </c>
      <c r="R79" s="133">
        <f t="shared" si="12"/>
        <v>28.65</v>
      </c>
    </row>
    <row r="80" spans="2:18" x14ac:dyDescent="0.3">
      <c r="K80" s="185" t="s">
        <v>672</v>
      </c>
      <c r="L80" s="197" t="s">
        <v>671</v>
      </c>
      <c r="M80" s="178">
        <f>-C43</f>
        <v>0</v>
      </c>
      <c r="N80" s="178">
        <f t="shared" ref="N80:R80" si="13">-D43</f>
        <v>9.9005998000000002</v>
      </c>
      <c r="O80" s="178">
        <f t="shared" si="13"/>
        <v>24.751499500000001</v>
      </c>
      <c r="P80" s="178">
        <f t="shared" si="13"/>
        <v>49.502999000000003</v>
      </c>
      <c r="Q80" s="178">
        <f t="shared" si="13"/>
        <v>49.502999000000003</v>
      </c>
      <c r="R80" s="178">
        <f t="shared" si="13"/>
        <v>49.502999000000003</v>
      </c>
    </row>
    <row r="81" spans="2:18" x14ac:dyDescent="0.3">
      <c r="K81" s="184"/>
      <c r="L81" s="180" t="s">
        <v>612</v>
      </c>
      <c r="M81" s="181">
        <f>-C44</f>
        <v>0.11046987244161401</v>
      </c>
      <c r="N81" s="181">
        <f t="shared" ref="N81:R81" si="14">-D44</f>
        <v>10.808749587111564</v>
      </c>
      <c r="O81" s="181">
        <f t="shared" si="14"/>
        <v>52.030300192374625</v>
      </c>
      <c r="P81" s="181">
        <f t="shared" si="14"/>
        <v>136.44913890830856</v>
      </c>
      <c r="Q81" s="181">
        <f t="shared" si="14"/>
        <v>452.89870741884414</v>
      </c>
      <c r="R81" s="181">
        <f t="shared" si="14"/>
        <v>714.09582758040096</v>
      </c>
    </row>
    <row r="89" spans="2:18" x14ac:dyDescent="0.3">
      <c r="B89" s="1" t="s">
        <v>430</v>
      </c>
      <c r="L89" s="1" t="s">
        <v>430</v>
      </c>
    </row>
    <row r="90" spans="2:18" x14ac:dyDescent="0.3">
      <c r="B90" s="19" t="s">
        <v>124</v>
      </c>
      <c r="C90" s="8">
        <f>C32</f>
        <v>15</v>
      </c>
      <c r="D90" s="8">
        <f t="shared" ref="D90:H90" si="15">D32</f>
        <v>100</v>
      </c>
      <c r="E90" s="8">
        <f t="shared" si="15"/>
        <v>1000</v>
      </c>
      <c r="F90" s="8">
        <f t="shared" si="15"/>
        <v>2000</v>
      </c>
      <c r="G90" s="8">
        <f t="shared" si="15"/>
        <v>5000</v>
      </c>
      <c r="H90" s="8">
        <f t="shared" si="15"/>
        <v>8000</v>
      </c>
      <c r="L90" s="19" t="s">
        <v>124</v>
      </c>
      <c r="M90" s="8">
        <f>C90</f>
        <v>15</v>
      </c>
      <c r="N90" s="8">
        <f t="shared" ref="N90:R90" si="16">D90</f>
        <v>100</v>
      </c>
      <c r="O90" s="8">
        <f t="shared" si="16"/>
        <v>1000</v>
      </c>
      <c r="P90" s="8">
        <f t="shared" si="16"/>
        <v>2000</v>
      </c>
      <c r="Q90" s="8">
        <f t="shared" si="16"/>
        <v>5000</v>
      </c>
      <c r="R90" s="8">
        <f t="shared" si="16"/>
        <v>8000</v>
      </c>
    </row>
    <row r="91" spans="2:18" x14ac:dyDescent="0.3">
      <c r="B91" t="s">
        <v>431</v>
      </c>
      <c r="C91" s="173">
        <f>C26</f>
        <v>-9.0714764685911456E-2</v>
      </c>
      <c r="D91" s="173">
        <f t="shared" ref="D91:H91" si="17">D26</f>
        <v>-2.263464619884374</v>
      </c>
      <c r="E91" s="173">
        <f t="shared" si="17"/>
        <v>-18.885477632548639</v>
      </c>
      <c r="F91" s="173">
        <f t="shared" si="17"/>
        <v>-57.394055227273405</v>
      </c>
      <c r="G91" s="173">
        <f t="shared" si="17"/>
        <v>-255.04975295772576</v>
      </c>
      <c r="H91" s="173">
        <f t="shared" si="17"/>
        <v>-418.56877000570017</v>
      </c>
      <c r="L91" t="s">
        <v>431</v>
      </c>
      <c r="M91" s="173">
        <f>-C91</f>
        <v>9.0714764685911456E-2</v>
      </c>
      <c r="N91" s="173">
        <f t="shared" ref="N91:R93" si="18">-D91</f>
        <v>2.263464619884374</v>
      </c>
      <c r="O91" s="173">
        <f t="shared" si="18"/>
        <v>18.885477632548639</v>
      </c>
      <c r="P91" s="173">
        <f t="shared" si="18"/>
        <v>57.394055227273405</v>
      </c>
      <c r="Q91" s="173">
        <f t="shared" si="18"/>
        <v>255.04975295772576</v>
      </c>
      <c r="R91" s="173">
        <f t="shared" si="18"/>
        <v>418.56877000570017</v>
      </c>
    </row>
    <row r="92" spans="2:18" x14ac:dyDescent="0.3">
      <c r="B92" t="s">
        <v>432</v>
      </c>
      <c r="C92" s="173">
        <f>C27</f>
        <v>-0.11046987244161401</v>
      </c>
      <c r="D92" s="173">
        <f t="shared" ref="D92:H93" si="19">D27</f>
        <v>-10.808749587111564</v>
      </c>
      <c r="E92" s="173">
        <f t="shared" si="19"/>
        <v>-52.030300192374625</v>
      </c>
      <c r="F92" s="173">
        <f t="shared" si="19"/>
        <v>-136.44913890830856</v>
      </c>
      <c r="G92" s="173">
        <f t="shared" si="19"/>
        <v>-452.89870741884414</v>
      </c>
      <c r="H92" s="173">
        <f t="shared" si="19"/>
        <v>-714.09582758040108</v>
      </c>
      <c r="L92" t="s">
        <v>432</v>
      </c>
      <c r="M92" s="173">
        <f t="shared" ref="M92:M93" si="20">-C92</f>
        <v>0.11046987244161401</v>
      </c>
      <c r="N92" s="173">
        <f t="shared" si="18"/>
        <v>10.808749587111564</v>
      </c>
      <c r="O92" s="173">
        <f t="shared" si="18"/>
        <v>52.030300192374625</v>
      </c>
      <c r="P92" s="173">
        <f t="shared" si="18"/>
        <v>136.44913890830856</v>
      </c>
      <c r="Q92" s="173">
        <f t="shared" si="18"/>
        <v>452.89870741884414</v>
      </c>
      <c r="R92" s="173">
        <f t="shared" si="18"/>
        <v>714.09582758040108</v>
      </c>
    </row>
    <row r="93" spans="2:18" x14ac:dyDescent="0.3">
      <c r="B93" t="s">
        <v>433</v>
      </c>
      <c r="C93" s="173">
        <f>C28</f>
        <v>-0.13772022157801914</v>
      </c>
      <c r="D93" s="173">
        <f t="shared" si="19"/>
        <v>-26.074619516065944</v>
      </c>
      <c r="E93" s="173">
        <f t="shared" si="19"/>
        <v>-95.077481009256388</v>
      </c>
      <c r="F93" s="173">
        <f t="shared" si="19"/>
        <v>-194.25268525033732</v>
      </c>
      <c r="G93" s="173">
        <f t="shared" si="19"/>
        <v>-668.66644335656417</v>
      </c>
      <c r="H93" s="173">
        <f t="shared" si="19"/>
        <v>-1111.8602183001174</v>
      </c>
      <c r="L93" t="s">
        <v>433</v>
      </c>
      <c r="M93" s="173">
        <f t="shared" si="20"/>
        <v>0.13772022157801914</v>
      </c>
      <c r="N93" s="173">
        <f t="shared" si="18"/>
        <v>26.074619516065944</v>
      </c>
      <c r="O93" s="173">
        <f t="shared" si="18"/>
        <v>95.077481009256388</v>
      </c>
      <c r="P93" s="173">
        <f t="shared" si="18"/>
        <v>194.25268525033732</v>
      </c>
      <c r="Q93" s="173">
        <f t="shared" si="18"/>
        <v>668.66644335656417</v>
      </c>
      <c r="R93" s="173">
        <f t="shared" si="18"/>
        <v>1111.8602183001174</v>
      </c>
    </row>
    <row r="95" spans="2:18" x14ac:dyDescent="0.3">
      <c r="B95" s="8" t="s">
        <v>439</v>
      </c>
      <c r="C95" s="8">
        <f>C90</f>
        <v>15</v>
      </c>
      <c r="D95" s="8">
        <f t="shared" ref="D95:H96" si="21">D90</f>
        <v>100</v>
      </c>
      <c r="E95" s="8">
        <f t="shared" si="21"/>
        <v>1000</v>
      </c>
      <c r="F95" s="8">
        <f t="shared" si="21"/>
        <v>2000</v>
      </c>
      <c r="G95" s="8">
        <f t="shared" si="21"/>
        <v>5000</v>
      </c>
      <c r="H95" s="8">
        <f t="shared" si="21"/>
        <v>8000</v>
      </c>
      <c r="L95" s="8" t="s">
        <v>439</v>
      </c>
      <c r="M95" s="8">
        <f>M90</f>
        <v>15</v>
      </c>
      <c r="N95" s="8">
        <f t="shared" ref="N95:R96" si="22">N90</f>
        <v>100</v>
      </c>
      <c r="O95" s="8">
        <f t="shared" si="22"/>
        <v>1000</v>
      </c>
      <c r="P95" s="8">
        <f t="shared" si="22"/>
        <v>2000</v>
      </c>
      <c r="Q95" s="8">
        <f t="shared" si="22"/>
        <v>5000</v>
      </c>
      <c r="R95" s="8">
        <f t="shared" si="22"/>
        <v>8000</v>
      </c>
    </row>
    <row r="96" spans="2:18" x14ac:dyDescent="0.3">
      <c r="B96" t="s">
        <v>436</v>
      </c>
      <c r="C96" s="173">
        <f>C91</f>
        <v>-9.0714764685911456E-2</v>
      </c>
      <c r="D96" s="173">
        <f t="shared" si="21"/>
        <v>-2.263464619884374</v>
      </c>
      <c r="E96" s="173">
        <f t="shared" si="21"/>
        <v>-18.885477632548639</v>
      </c>
      <c r="F96" s="173">
        <f t="shared" si="21"/>
        <v>-57.394055227273405</v>
      </c>
      <c r="G96" s="173">
        <f t="shared" si="21"/>
        <v>-255.04975295772576</v>
      </c>
      <c r="H96" s="173">
        <f t="shared" si="21"/>
        <v>-418.56877000570017</v>
      </c>
      <c r="L96" t="s">
        <v>436</v>
      </c>
      <c r="M96" s="173">
        <f>M91</f>
        <v>9.0714764685911456E-2</v>
      </c>
      <c r="N96" s="173">
        <f t="shared" si="22"/>
        <v>2.263464619884374</v>
      </c>
      <c r="O96" s="173">
        <f t="shared" si="22"/>
        <v>18.885477632548639</v>
      </c>
      <c r="P96" s="173">
        <f t="shared" si="22"/>
        <v>57.394055227273405</v>
      </c>
      <c r="Q96" s="173">
        <f t="shared" si="22"/>
        <v>255.04975295772576</v>
      </c>
      <c r="R96" s="173">
        <f t="shared" si="22"/>
        <v>418.56877000570017</v>
      </c>
    </row>
    <row r="97" spans="2:18" x14ac:dyDescent="0.3">
      <c r="B97" t="s">
        <v>437</v>
      </c>
      <c r="C97" s="173">
        <f>C92-C91</f>
        <v>-1.975510775570255E-2</v>
      </c>
      <c r="D97" s="173">
        <f t="shared" ref="D97:H98" si="23">D92-D91</f>
        <v>-8.5452849672271896</v>
      </c>
      <c r="E97" s="173">
        <f t="shared" si="23"/>
        <v>-33.144822559825982</v>
      </c>
      <c r="F97" s="173">
        <f t="shared" si="23"/>
        <v>-79.055083681035143</v>
      </c>
      <c r="G97" s="173">
        <f t="shared" si="23"/>
        <v>-197.84895446111838</v>
      </c>
      <c r="H97" s="173">
        <f t="shared" si="23"/>
        <v>-295.5270575747009</v>
      </c>
      <c r="L97" t="s">
        <v>437</v>
      </c>
      <c r="M97" s="173">
        <f>M92-M91</f>
        <v>1.975510775570255E-2</v>
      </c>
      <c r="N97" s="173">
        <f t="shared" ref="N97:R98" si="24">N92-N91</f>
        <v>8.5452849672271896</v>
      </c>
      <c r="O97" s="173">
        <f t="shared" si="24"/>
        <v>33.144822559825982</v>
      </c>
      <c r="P97" s="173">
        <f t="shared" si="24"/>
        <v>79.055083681035143</v>
      </c>
      <c r="Q97" s="173">
        <f t="shared" si="24"/>
        <v>197.84895446111838</v>
      </c>
      <c r="R97" s="173">
        <f t="shared" si="24"/>
        <v>295.5270575747009</v>
      </c>
    </row>
    <row r="98" spans="2:18" x14ac:dyDescent="0.3">
      <c r="B98" s="8" t="s">
        <v>438</v>
      </c>
      <c r="C98" s="178">
        <f>C93-C92</f>
        <v>-2.725034913640513E-2</v>
      </c>
      <c r="D98" s="178">
        <f t="shared" si="23"/>
        <v>-15.26586992895438</v>
      </c>
      <c r="E98" s="178">
        <f t="shared" si="23"/>
        <v>-43.047180816881763</v>
      </c>
      <c r="F98" s="178">
        <f t="shared" si="23"/>
        <v>-57.803546342028767</v>
      </c>
      <c r="G98" s="178">
        <f t="shared" si="23"/>
        <v>-215.76773593772003</v>
      </c>
      <c r="H98" s="178">
        <f t="shared" si="23"/>
        <v>-397.76439071971629</v>
      </c>
      <c r="L98" s="8" t="s">
        <v>438</v>
      </c>
      <c r="M98" s="178">
        <f>M93-M92</f>
        <v>2.725034913640513E-2</v>
      </c>
      <c r="N98" s="178">
        <f t="shared" si="24"/>
        <v>15.26586992895438</v>
      </c>
      <c r="O98" s="178">
        <f t="shared" si="24"/>
        <v>43.047180816881763</v>
      </c>
      <c r="P98" s="178">
        <f t="shared" si="24"/>
        <v>57.803546342028767</v>
      </c>
      <c r="Q98" s="178">
        <f t="shared" si="24"/>
        <v>215.76773593772003</v>
      </c>
      <c r="R98" s="178">
        <f t="shared" si="24"/>
        <v>397.76439071971629</v>
      </c>
    </row>
    <row r="99" spans="2:18" x14ac:dyDescent="0.3">
      <c r="B99" t="s">
        <v>611</v>
      </c>
      <c r="C99" s="173">
        <f>SUM(C96:C98)</f>
        <v>-0.13772022157801914</v>
      </c>
      <c r="D99" s="173">
        <f t="shared" ref="D99:H99" si="25">SUM(D96:D98)</f>
        <v>-26.074619516065944</v>
      </c>
      <c r="E99" s="173">
        <f t="shared" si="25"/>
        <v>-95.077481009256388</v>
      </c>
      <c r="F99" s="173">
        <f t="shared" si="25"/>
        <v>-194.25268525033732</v>
      </c>
      <c r="G99" s="173">
        <f t="shared" si="25"/>
        <v>-668.66644335656417</v>
      </c>
      <c r="H99" s="173">
        <f t="shared" si="25"/>
        <v>-1111.8602183001174</v>
      </c>
      <c r="L99" t="s">
        <v>611</v>
      </c>
      <c r="M99" s="173">
        <f>SUM(M96:M98)</f>
        <v>0.13772022157801914</v>
      </c>
      <c r="N99" s="173">
        <f t="shared" ref="N99:R99" si="26">SUM(N96:N98)</f>
        <v>26.074619516065944</v>
      </c>
      <c r="O99" s="173">
        <f t="shared" si="26"/>
        <v>95.077481009256388</v>
      </c>
      <c r="P99" s="173">
        <f t="shared" si="26"/>
        <v>194.25268525033732</v>
      </c>
      <c r="Q99" s="173">
        <f t="shared" si="26"/>
        <v>668.66644335656417</v>
      </c>
      <c r="R99" s="173">
        <f t="shared" si="26"/>
        <v>1111.8602183001174</v>
      </c>
    </row>
  </sheetData>
  <mergeCells count="4">
    <mergeCell ref="A33:A38"/>
    <mergeCell ref="K70:K75"/>
    <mergeCell ref="K76:K79"/>
    <mergeCell ref="A39:A42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topLeftCell="A88" workbookViewId="0">
      <selection activeCell="C125" sqref="C125"/>
    </sheetView>
  </sheetViews>
  <sheetFormatPr defaultRowHeight="14.4" x14ac:dyDescent="0.3"/>
  <cols>
    <col min="1" max="1" width="19.88671875" customWidth="1"/>
    <col min="2" max="2" width="62.88671875" customWidth="1"/>
    <col min="3" max="3" width="18.88671875" customWidth="1"/>
    <col min="4" max="4" width="10.33203125" customWidth="1"/>
    <col min="5" max="5" width="11.5546875" customWidth="1"/>
    <col min="6" max="6" width="11.44140625" customWidth="1"/>
    <col min="7" max="7" width="13" customWidth="1"/>
    <col min="8" max="8" width="13.33203125" customWidth="1"/>
  </cols>
  <sheetData>
    <row r="1" spans="2:3" x14ac:dyDescent="0.3">
      <c r="B1" s="1" t="s">
        <v>608</v>
      </c>
    </row>
    <row r="2" spans="2:3" x14ac:dyDescent="0.3">
      <c r="B2" t="s">
        <v>261</v>
      </c>
    </row>
    <row r="3" spans="2:3" x14ac:dyDescent="0.3">
      <c r="B3" s="4" t="s">
        <v>421</v>
      </c>
    </row>
    <row r="4" spans="2:3" x14ac:dyDescent="0.3">
      <c r="B4" s="4" t="s">
        <v>260</v>
      </c>
    </row>
    <row r="5" spans="2:3" x14ac:dyDescent="0.3">
      <c r="B5" s="5" t="s">
        <v>599</v>
      </c>
    </row>
    <row r="7" spans="2:3" x14ac:dyDescent="0.3">
      <c r="B7" s="87" t="s">
        <v>142</v>
      </c>
    </row>
    <row r="8" spans="2:3" x14ac:dyDescent="0.3">
      <c r="B8" s="24" t="s">
        <v>420</v>
      </c>
    </row>
    <row r="9" spans="2:3" x14ac:dyDescent="0.3">
      <c r="B9" s="89" t="s">
        <v>257</v>
      </c>
    </row>
    <row r="10" spans="2:3" x14ac:dyDescent="0.3">
      <c r="B10" s="3" t="s">
        <v>259</v>
      </c>
    </row>
    <row r="12" spans="2:3" ht="15" x14ac:dyDescent="0.25">
      <c r="B12" s="121" t="s">
        <v>419</v>
      </c>
    </row>
    <row r="13" spans="2:3" ht="15" x14ac:dyDescent="0.25">
      <c r="B13" s="111" t="s">
        <v>428</v>
      </c>
      <c r="C13" s="111"/>
    </row>
    <row r="14" spans="2:3" x14ac:dyDescent="0.3">
      <c r="B14" s="111" t="s">
        <v>418</v>
      </c>
      <c r="C14" s="111"/>
    </row>
    <row r="16" spans="2:3" ht="15" x14ac:dyDescent="0.25">
      <c r="B16" t="s">
        <v>173</v>
      </c>
    </row>
    <row r="17" spans="2:10" x14ac:dyDescent="0.3">
      <c r="B17" t="s">
        <v>174</v>
      </c>
    </row>
    <row r="19" spans="2:10" s="28" customFormat="1" x14ac:dyDescent="0.3">
      <c r="C19" t="s">
        <v>434</v>
      </c>
      <c r="D19"/>
    </row>
    <row r="20" spans="2:10" s="28" customFormat="1" x14ac:dyDescent="0.3">
      <c r="B20" s="19" t="s">
        <v>124</v>
      </c>
      <c r="C20" s="123">
        <v>15</v>
      </c>
      <c r="D20" s="123">
        <v>100</v>
      </c>
      <c r="E20" s="123">
        <v>1000</v>
      </c>
      <c r="F20" s="123">
        <v>2000</v>
      </c>
      <c r="G20" s="123">
        <v>5000</v>
      </c>
      <c r="H20" s="123">
        <v>8000</v>
      </c>
    </row>
    <row r="21" spans="2:10" s="28" customFormat="1" ht="15" x14ac:dyDescent="0.25">
      <c r="B21" s="3"/>
      <c r="C21"/>
      <c r="D21"/>
    </row>
    <row r="22" spans="2:10" s="28" customFormat="1" x14ac:dyDescent="0.3">
      <c r="B22" s="58" t="s">
        <v>262</v>
      </c>
      <c r="C22"/>
      <c r="D22"/>
    </row>
    <row r="23" spans="2:10" s="28" customFormat="1" x14ac:dyDescent="0.3">
      <c r="B23" s="22" t="s">
        <v>576</v>
      </c>
      <c r="C23"/>
      <c r="D23"/>
    </row>
    <row r="24" spans="2:10" s="28" customFormat="1" x14ac:dyDescent="0.3">
      <c r="B24" s="22" t="s">
        <v>580</v>
      </c>
      <c r="C24"/>
      <c r="D24"/>
    </row>
    <row r="25" spans="2:10" s="28" customFormat="1" x14ac:dyDescent="0.3">
      <c r="B25" s="22" t="s">
        <v>581</v>
      </c>
      <c r="C25"/>
      <c r="D25"/>
    </row>
    <row r="26" spans="2:10" s="28" customFormat="1" ht="15" x14ac:dyDescent="0.25">
      <c r="B26" s="22"/>
      <c r="C26"/>
      <c r="D26"/>
    </row>
    <row r="27" spans="2:10" s="28" customFormat="1" x14ac:dyDescent="0.3">
      <c r="B27" s="22" t="s">
        <v>577</v>
      </c>
      <c r="C27"/>
      <c r="D27"/>
      <c r="J27" s="31"/>
    </row>
    <row r="28" spans="2:10" s="28" customFormat="1" x14ac:dyDescent="0.3">
      <c r="B28" s="22" t="s">
        <v>390</v>
      </c>
      <c r="C28"/>
      <c r="D28"/>
      <c r="J28" s="31"/>
    </row>
    <row r="29" spans="2:10" s="28" customFormat="1" ht="15" x14ac:dyDescent="0.25">
      <c r="B29" s="22" t="s">
        <v>389</v>
      </c>
      <c r="C29"/>
      <c r="D29"/>
      <c r="J29" s="31"/>
    </row>
    <row r="30" spans="2:10" s="28" customFormat="1" x14ac:dyDescent="0.3">
      <c r="B30" s="5" t="s">
        <v>397</v>
      </c>
      <c r="C30"/>
      <c r="D30"/>
      <c r="J30" s="31"/>
    </row>
    <row r="31" spans="2:10" s="28" customFormat="1" x14ac:dyDescent="0.3">
      <c r="B31" s="5" t="s">
        <v>558</v>
      </c>
      <c r="C31"/>
      <c r="D31"/>
      <c r="J31" s="31"/>
    </row>
    <row r="32" spans="2:10" s="28" customFormat="1" x14ac:dyDescent="0.3">
      <c r="B32" s="5" t="s">
        <v>391</v>
      </c>
      <c r="C32"/>
      <c r="D32"/>
      <c r="J32" s="31"/>
    </row>
    <row r="33" spans="1:10" s="28" customFormat="1" x14ac:dyDescent="0.3">
      <c r="B33" s="115" t="s">
        <v>392</v>
      </c>
      <c r="C33"/>
      <c r="D33"/>
    </row>
    <row r="34" spans="1:10" s="28" customFormat="1" ht="15" x14ac:dyDescent="0.25">
      <c r="B34" s="22" t="s">
        <v>393</v>
      </c>
      <c r="C34"/>
      <c r="D34"/>
      <c r="J34" s="31"/>
    </row>
    <row r="35" spans="1:10" s="28" customFormat="1" x14ac:dyDescent="0.3">
      <c r="B35" s="5" t="s">
        <v>396</v>
      </c>
      <c r="C35"/>
      <c r="D35"/>
    </row>
    <row r="36" spans="1:10" s="28" customFormat="1" x14ac:dyDescent="0.3">
      <c r="B36" s="5" t="s">
        <v>556</v>
      </c>
      <c r="C36" s="153">
        <v>1.5</v>
      </c>
      <c r="D36" s="5" t="s">
        <v>555</v>
      </c>
      <c r="J36" s="120" t="s">
        <v>388</v>
      </c>
    </row>
    <row r="37" spans="1:10" s="28" customFormat="1" x14ac:dyDescent="0.3">
      <c r="A37" s="112" t="str">
        <f>"pessimistinen ("&amp;J37*100&amp;" %)"</f>
        <v>pessimistinen (50 %)</v>
      </c>
      <c r="B37" s="112" t="s">
        <v>394</v>
      </c>
      <c r="C37" s="112">
        <f>$J37*C38</f>
        <v>0</v>
      </c>
      <c r="D37" s="112">
        <f t="shared" ref="D37:G37" si="0">$J37*D38</f>
        <v>0</v>
      </c>
      <c r="E37" s="112">
        <f t="shared" si="0"/>
        <v>0</v>
      </c>
      <c r="F37" s="113">
        <f t="shared" si="0"/>
        <v>-1.25</v>
      </c>
      <c r="G37" s="113">
        <f t="shared" si="0"/>
        <v>-2.1</v>
      </c>
      <c r="H37" s="113">
        <f>$J37*H38</f>
        <v>-3.1500000000000004</v>
      </c>
      <c r="J37" s="120">
        <v>0.5</v>
      </c>
    </row>
    <row r="38" spans="1:10" s="28" customFormat="1" x14ac:dyDescent="0.3">
      <c r="A38" s="28" t="s">
        <v>386</v>
      </c>
      <c r="B38" s="49" t="s">
        <v>394</v>
      </c>
      <c r="C38" s="89">
        <v>0</v>
      </c>
      <c r="D38" s="89">
        <v>0</v>
      </c>
      <c r="E38" s="89">
        <v>0</v>
      </c>
      <c r="F38" s="89">
        <v>-2.5</v>
      </c>
      <c r="G38" s="89">
        <v>-4.2</v>
      </c>
      <c r="H38" s="89">
        <f>C36*G38</f>
        <v>-6.3000000000000007</v>
      </c>
      <c r="J38" s="34">
        <v>1</v>
      </c>
    </row>
    <row r="39" spans="1:10" s="28" customFormat="1" x14ac:dyDescent="0.3">
      <c r="A39" s="112" t="str">
        <f>"optimistinen ("&amp;J39*100&amp;" %)"</f>
        <v>optimistinen (130 %)</v>
      </c>
      <c r="B39" s="112" t="s">
        <v>394</v>
      </c>
      <c r="C39" s="112">
        <f>$J39*C38</f>
        <v>0</v>
      </c>
      <c r="D39" s="112">
        <f t="shared" ref="D39:H39" si="1">$J39*D38</f>
        <v>0</v>
      </c>
      <c r="E39" s="112">
        <f t="shared" si="1"/>
        <v>0</v>
      </c>
      <c r="F39" s="113">
        <f t="shared" si="1"/>
        <v>-3.25</v>
      </c>
      <c r="G39" s="113">
        <f t="shared" si="1"/>
        <v>-5.4600000000000009</v>
      </c>
      <c r="H39" s="113">
        <f t="shared" si="1"/>
        <v>-8.1900000000000013</v>
      </c>
      <c r="I39" s="31"/>
      <c r="J39" s="120">
        <v>1.3</v>
      </c>
    </row>
    <row r="40" spans="1:10" s="28" customFormat="1" ht="15" x14ac:dyDescent="0.25">
      <c r="A40" s="31"/>
      <c r="B40" s="31"/>
      <c r="C40" s="31"/>
      <c r="D40" s="31"/>
      <c r="E40" s="31"/>
      <c r="F40" s="152"/>
      <c r="G40" s="152"/>
      <c r="H40" s="152"/>
      <c r="I40" s="31"/>
      <c r="J40" s="31"/>
    </row>
    <row r="41" spans="1:10" s="28" customFormat="1" x14ac:dyDescent="0.3">
      <c r="A41" s="31"/>
      <c r="B41" s="154" t="s">
        <v>557</v>
      </c>
      <c r="C41" s="31"/>
      <c r="D41" s="31"/>
      <c r="E41" s="31"/>
      <c r="F41" s="152"/>
      <c r="G41" s="152"/>
      <c r="H41" s="152"/>
      <c r="I41" s="31"/>
      <c r="J41" s="31"/>
    </row>
    <row r="42" spans="1:10" s="28" customFormat="1" x14ac:dyDescent="0.3">
      <c r="A42" s="31"/>
      <c r="B42" s="159" t="s">
        <v>559</v>
      </c>
      <c r="C42" s="31"/>
      <c r="D42" s="31"/>
      <c r="E42" s="31"/>
      <c r="F42" s="152"/>
      <c r="G42" s="152"/>
      <c r="H42" s="152"/>
      <c r="I42" s="31"/>
      <c r="J42" s="31"/>
    </row>
    <row r="43" spans="1:10" s="28" customFormat="1" x14ac:dyDescent="0.3">
      <c r="A43" s="31"/>
      <c r="B43" s="159" t="s">
        <v>560</v>
      </c>
      <c r="C43" s="31"/>
      <c r="D43" s="31"/>
      <c r="E43" s="31"/>
      <c r="F43" s="152"/>
      <c r="G43" s="152"/>
      <c r="H43" s="152"/>
      <c r="I43" s="31"/>
      <c r="J43" s="31"/>
    </row>
    <row r="44" spans="1:10" s="28" customFormat="1" x14ac:dyDescent="0.3">
      <c r="A44" s="31"/>
      <c r="B44" s="159" t="s">
        <v>561</v>
      </c>
      <c r="C44" s="31"/>
      <c r="D44" s="158">
        <f>C36</f>
        <v>1.5</v>
      </c>
      <c r="E44" s="31"/>
      <c r="F44" s="152"/>
      <c r="G44" s="152"/>
      <c r="H44" s="152"/>
      <c r="I44" s="31"/>
    </row>
    <row r="45" spans="1:10" s="28" customFormat="1" x14ac:dyDescent="0.3">
      <c r="A45" s="31"/>
      <c r="B45" s="159" t="s">
        <v>574</v>
      </c>
      <c r="C45" s="31"/>
      <c r="D45" s="154"/>
      <c r="E45" s="31"/>
      <c r="F45" s="152"/>
      <c r="G45" s="152"/>
      <c r="H45" s="152"/>
      <c r="I45" s="31"/>
    </row>
    <row r="46" spans="1:10" s="28" customFormat="1" ht="15" x14ac:dyDescent="0.25">
      <c r="A46" s="31"/>
      <c r="B46" s="159" t="s">
        <v>575</v>
      </c>
      <c r="C46" s="31"/>
      <c r="D46" s="154"/>
      <c r="E46" s="31"/>
      <c r="F46" s="152"/>
      <c r="G46" s="152"/>
      <c r="H46" s="152"/>
      <c r="I46" s="31"/>
      <c r="J46" s="120" t="s">
        <v>388</v>
      </c>
    </row>
    <row r="47" spans="1:10" s="28" customFormat="1" x14ac:dyDescent="0.3">
      <c r="A47" s="112" t="str">
        <f>"pessimistinen ("&amp;J47*100&amp;" %)"</f>
        <v>pessimistinen (50 %)</v>
      </c>
      <c r="B47" s="112" t="s">
        <v>562</v>
      </c>
      <c r="C47" s="112">
        <f>$J47*C48</f>
        <v>0</v>
      </c>
      <c r="D47" s="112">
        <f t="shared" ref="D47:H47" si="2">$J47*D48</f>
        <v>0</v>
      </c>
      <c r="E47" s="112">
        <f t="shared" si="2"/>
        <v>0</v>
      </c>
      <c r="F47" s="157">
        <f>$J47*F48</f>
        <v>-3.4949987800000006E-2</v>
      </c>
      <c r="G47" s="157">
        <f t="shared" si="2"/>
        <v>-6.1734090600000006E-2</v>
      </c>
      <c r="H47" s="157">
        <f t="shared" si="2"/>
        <v>-9.2601135900000006E-2</v>
      </c>
      <c r="I47" s="31"/>
      <c r="J47" s="120">
        <v>0.5</v>
      </c>
    </row>
    <row r="48" spans="1:10" s="28" customFormat="1" x14ac:dyDescent="0.3">
      <c r="A48" s="28" t="s">
        <v>386</v>
      </c>
      <c r="B48" s="49" t="s">
        <v>562</v>
      </c>
      <c r="C48" s="89">
        <v>0</v>
      </c>
      <c r="D48" s="89">
        <v>0</v>
      </c>
      <c r="E48" s="89">
        <v>0</v>
      </c>
      <c r="F48" s="156">
        <f>-1.07*Lähtöarvot!$M$142</f>
        <v>-6.9899975600000011E-2</v>
      </c>
      <c r="G48" s="156">
        <f>-1.89*Lähtöarvot!$M$142</f>
        <v>-0.12346818120000001</v>
      </c>
      <c r="H48" s="155">
        <f>D44*G48</f>
        <v>-0.18520227180000001</v>
      </c>
      <c r="I48" s="31"/>
      <c r="J48" s="34">
        <v>1</v>
      </c>
    </row>
    <row r="49" spans="1:13" s="28" customFormat="1" x14ac:dyDescent="0.3">
      <c r="A49" s="112" t="str">
        <f>"optimistinen ("&amp;J49*100&amp;" %)"</f>
        <v>optimistinen (130 %)</v>
      </c>
      <c r="B49" s="112" t="s">
        <v>562</v>
      </c>
      <c r="C49" s="112">
        <f>$J49*C48</f>
        <v>0</v>
      </c>
      <c r="D49" s="112">
        <f t="shared" ref="D49:H49" si="3">$J49*D48</f>
        <v>0</v>
      </c>
      <c r="E49" s="112">
        <f t="shared" si="3"/>
        <v>0</v>
      </c>
      <c r="F49" s="157">
        <f t="shared" si="3"/>
        <v>-9.0869968280000019E-2</v>
      </c>
      <c r="G49" s="157">
        <f t="shared" si="3"/>
        <v>-0.16050863556000003</v>
      </c>
      <c r="H49" s="157">
        <f t="shared" si="3"/>
        <v>-0.24076295334000003</v>
      </c>
      <c r="I49" s="31"/>
      <c r="J49" s="120">
        <v>1.3</v>
      </c>
    </row>
    <row r="50" spans="1:13" s="28" customFormat="1" ht="15" x14ac:dyDescent="0.25">
      <c r="A50" s="34"/>
      <c r="B50" s="34"/>
      <c r="C50" s="34"/>
      <c r="D50" s="34"/>
      <c r="E50" s="34"/>
      <c r="F50" s="160"/>
      <c r="G50" s="160"/>
      <c r="H50" s="160"/>
      <c r="I50" s="34"/>
      <c r="J50" s="34"/>
      <c r="K50" s="34"/>
      <c r="L50" s="34"/>
      <c r="M50" s="34"/>
    </row>
    <row r="51" spans="1:13" x14ac:dyDescent="0.3">
      <c r="B51" s="154" t="s">
        <v>570</v>
      </c>
    </row>
    <row r="52" spans="1:13" s="28" customFormat="1" x14ac:dyDescent="0.3">
      <c r="A52" s="112" t="s">
        <v>571</v>
      </c>
      <c r="B52" s="112" t="s">
        <v>570</v>
      </c>
      <c r="C52" s="112">
        <f>C37+C47</f>
        <v>0</v>
      </c>
      <c r="D52" s="112">
        <f t="shared" ref="D52:H52" si="4">D37+D47</f>
        <v>0</v>
      </c>
      <c r="E52" s="112">
        <f t="shared" si="4"/>
        <v>0</v>
      </c>
      <c r="F52" s="157">
        <f t="shared" si="4"/>
        <v>-1.2849499877999999</v>
      </c>
      <c r="G52" s="157">
        <f t="shared" si="4"/>
        <v>-2.1617340906</v>
      </c>
      <c r="H52" s="157">
        <f t="shared" si="4"/>
        <v>-3.2426011359000002</v>
      </c>
      <c r="I52" s="31"/>
      <c r="J52" s="31"/>
    </row>
    <row r="53" spans="1:13" s="28" customFormat="1" x14ac:dyDescent="0.3">
      <c r="A53" s="34" t="s">
        <v>386</v>
      </c>
      <c r="B53" s="34" t="s">
        <v>570</v>
      </c>
      <c r="C53" s="28">
        <f>C38+C48</f>
        <v>0</v>
      </c>
      <c r="D53" s="28">
        <f t="shared" ref="D53:H53" si="5">D38+D48</f>
        <v>0</v>
      </c>
      <c r="E53" s="28">
        <f t="shared" si="5"/>
        <v>0</v>
      </c>
      <c r="F53" s="161">
        <f t="shared" si="5"/>
        <v>-2.5698999755999998</v>
      </c>
      <c r="G53" s="161">
        <f t="shared" si="5"/>
        <v>-4.3234681812</v>
      </c>
      <c r="H53" s="162">
        <f t="shared" si="5"/>
        <v>-6.4852022718000004</v>
      </c>
      <c r="I53" s="31"/>
      <c r="J53" s="31"/>
    </row>
    <row r="54" spans="1:13" s="28" customFormat="1" x14ac:dyDescent="0.3">
      <c r="A54" s="112" t="s">
        <v>387</v>
      </c>
      <c r="B54" s="112" t="s">
        <v>570</v>
      </c>
      <c r="C54" s="112">
        <f>C39+C49</f>
        <v>0</v>
      </c>
      <c r="D54" s="112">
        <f t="shared" ref="D54:G54" si="6">D39+D49</f>
        <v>0</v>
      </c>
      <c r="E54" s="112">
        <f t="shared" si="6"/>
        <v>0</v>
      </c>
      <c r="F54" s="157">
        <f t="shared" si="6"/>
        <v>-3.3408699682799998</v>
      </c>
      <c r="G54" s="157">
        <f t="shared" si="6"/>
        <v>-5.6205086355600011</v>
      </c>
      <c r="H54" s="157">
        <f>H39+H49</f>
        <v>-8.4307629533400021</v>
      </c>
      <c r="I54" s="31"/>
      <c r="J54" s="31"/>
    </row>
    <row r="55" spans="1:13" s="28" customFormat="1" ht="15" x14ac:dyDescent="0.25">
      <c r="A55" s="31"/>
      <c r="B55" s="31"/>
      <c r="C55" s="31"/>
      <c r="D55" s="31"/>
      <c r="E55" s="31"/>
      <c r="F55" s="163"/>
      <c r="G55" s="163"/>
      <c r="H55" s="163"/>
      <c r="I55" s="31"/>
      <c r="J55" s="31"/>
    </row>
    <row r="56" spans="1:13" s="28" customFormat="1" ht="15" x14ac:dyDescent="0.25">
      <c r="A56" s="31"/>
      <c r="B56" s="31"/>
      <c r="C56" s="31"/>
      <c r="D56" s="31"/>
      <c r="E56" s="31"/>
      <c r="F56" s="163"/>
      <c r="G56" s="163"/>
      <c r="H56" s="163"/>
      <c r="I56" s="31"/>
      <c r="J56" s="31"/>
    </row>
    <row r="57" spans="1:13" s="28" customFormat="1" x14ac:dyDescent="0.3">
      <c r="A57" s="31"/>
      <c r="B57" s="164" t="s">
        <v>590</v>
      </c>
      <c r="C57" s="31"/>
      <c r="D57" s="31"/>
      <c r="E57" s="31"/>
      <c r="F57" s="163"/>
      <c r="G57" s="163"/>
      <c r="H57" s="163"/>
      <c r="I57" s="31"/>
      <c r="J57" s="31"/>
    </row>
    <row r="58" spans="1:13" s="28" customFormat="1" x14ac:dyDescent="0.3">
      <c r="A58" s="31"/>
      <c r="B58" s="154" t="s">
        <v>582</v>
      </c>
      <c r="C58" s="31"/>
      <c r="D58" s="31"/>
      <c r="E58" s="31"/>
      <c r="F58" s="163"/>
      <c r="G58" s="163"/>
      <c r="H58" s="163"/>
      <c r="I58" s="31"/>
      <c r="J58" s="31"/>
    </row>
    <row r="59" spans="1:13" s="28" customFormat="1" x14ac:dyDescent="0.3">
      <c r="A59" s="31"/>
      <c r="B59" s="154" t="s">
        <v>583</v>
      </c>
      <c r="C59" s="31"/>
      <c r="D59" s="31"/>
      <c r="E59" s="31"/>
      <c r="F59" s="163"/>
      <c r="G59" s="163"/>
      <c r="H59" s="163"/>
      <c r="I59" s="31"/>
      <c r="J59" s="31"/>
    </row>
    <row r="60" spans="1:13" s="28" customFormat="1" x14ac:dyDescent="0.3">
      <c r="A60" s="31"/>
      <c r="B60" s="154" t="s">
        <v>589</v>
      </c>
      <c r="C60" s="31"/>
      <c r="D60" s="31"/>
      <c r="E60" s="31"/>
      <c r="F60" s="163"/>
      <c r="G60" s="163"/>
      <c r="H60" s="163"/>
      <c r="I60" s="31"/>
      <c r="J60" s="31"/>
    </row>
    <row r="61" spans="1:13" s="28" customFormat="1" x14ac:dyDescent="0.3">
      <c r="A61" s="31"/>
      <c r="B61" s="154" t="s">
        <v>587</v>
      </c>
      <c r="C61" s="31"/>
      <c r="D61" s="31"/>
      <c r="E61" s="31"/>
      <c r="F61" s="163"/>
      <c r="G61" s="163"/>
      <c r="H61" s="163"/>
      <c r="I61" s="31"/>
      <c r="J61" s="31"/>
    </row>
    <row r="62" spans="1:13" s="28" customFormat="1" x14ac:dyDescent="0.3">
      <c r="A62" s="31"/>
      <c r="B62" s="154" t="s">
        <v>588</v>
      </c>
      <c r="C62" s="31"/>
      <c r="D62" s="31"/>
      <c r="E62" s="31"/>
      <c r="F62" s="163"/>
      <c r="G62" s="163"/>
      <c r="H62" s="163"/>
      <c r="I62" s="31"/>
      <c r="J62" s="31"/>
    </row>
    <row r="63" spans="1:13" s="28" customFormat="1" x14ac:dyDescent="0.3">
      <c r="A63" s="31"/>
      <c r="B63" s="79" t="s">
        <v>584</v>
      </c>
      <c r="C63" s="31"/>
      <c r="D63" s="31"/>
      <c r="E63" s="31"/>
      <c r="F63" s="163"/>
      <c r="G63" s="163"/>
      <c r="H63" s="163"/>
      <c r="I63" s="31"/>
      <c r="J63" s="31"/>
    </row>
    <row r="64" spans="1:13" s="28" customFormat="1" x14ac:dyDescent="0.3">
      <c r="A64" s="31"/>
      <c r="B64" s="159" t="s">
        <v>585</v>
      </c>
      <c r="C64" s="31"/>
      <c r="D64" s="31"/>
      <c r="E64" s="31"/>
      <c r="F64" s="163"/>
      <c r="G64" s="163"/>
      <c r="H64" s="163"/>
      <c r="I64" s="31"/>
      <c r="J64" s="31"/>
    </row>
    <row r="65" spans="1:10" s="28" customFormat="1" x14ac:dyDescent="0.3">
      <c r="A65" s="31"/>
      <c r="B65" s="159" t="s">
        <v>586</v>
      </c>
      <c r="C65" s="31"/>
      <c r="D65" s="31"/>
      <c r="E65" s="31"/>
      <c r="F65" s="169"/>
      <c r="G65" s="163"/>
      <c r="H65" s="163"/>
      <c r="I65" s="31"/>
      <c r="J65" s="120" t="s">
        <v>388</v>
      </c>
    </row>
    <row r="66" spans="1:10" s="28" customFormat="1" x14ac:dyDescent="0.3">
      <c r="A66" s="112" t="str">
        <f>"pessimistinen ("&amp;J66*100&amp;" %)"</f>
        <v>pessimistinen (50 %)</v>
      </c>
      <c r="B66" s="112" t="s">
        <v>394</v>
      </c>
      <c r="C66" s="112">
        <f>$J66*C67</f>
        <v>0</v>
      </c>
      <c r="D66" s="112">
        <f>$J66*D67</f>
        <v>0</v>
      </c>
      <c r="E66" s="112">
        <f t="shared" ref="E66:H66" si="7">$J66*E67</f>
        <v>0</v>
      </c>
      <c r="F66" s="168">
        <f>$J66*F67</f>
        <v>0</v>
      </c>
      <c r="G66" s="157">
        <f t="shared" si="7"/>
        <v>-4</v>
      </c>
      <c r="H66" s="157">
        <f t="shared" si="7"/>
        <v>-8</v>
      </c>
      <c r="I66" s="31"/>
      <c r="J66" s="120">
        <v>0.5</v>
      </c>
    </row>
    <row r="67" spans="1:10" s="28" customFormat="1" x14ac:dyDescent="0.3">
      <c r="A67" s="28" t="s">
        <v>386</v>
      </c>
      <c r="B67" s="49" t="s">
        <v>394</v>
      </c>
      <c r="C67" s="89">
        <v>0</v>
      </c>
      <c r="D67" s="89">
        <v>0</v>
      </c>
      <c r="E67" s="89">
        <v>0</v>
      </c>
      <c r="F67" s="170">
        <v>0</v>
      </c>
      <c r="G67" s="156">
        <v>-8</v>
      </c>
      <c r="H67" s="155">
        <v>-16</v>
      </c>
      <c r="I67" s="31"/>
      <c r="J67" s="34">
        <v>1</v>
      </c>
    </row>
    <row r="68" spans="1:10" s="28" customFormat="1" x14ac:dyDescent="0.3">
      <c r="A68" s="112" t="str">
        <f>"optimistinen ("&amp;J68*100&amp;" %)"</f>
        <v>optimistinen (130 %)</v>
      </c>
      <c r="B68" s="112" t="s">
        <v>394</v>
      </c>
      <c r="C68" s="112">
        <f>$J68*C67</f>
        <v>0</v>
      </c>
      <c r="D68" s="112">
        <f t="shared" ref="D68:H68" si="8">$J68*D67</f>
        <v>0</v>
      </c>
      <c r="E68" s="112">
        <f t="shared" si="8"/>
        <v>0</v>
      </c>
      <c r="F68" s="168">
        <f t="shared" si="8"/>
        <v>0</v>
      </c>
      <c r="G68" s="157">
        <f t="shared" si="8"/>
        <v>-10.4</v>
      </c>
      <c r="H68" s="157">
        <f t="shared" si="8"/>
        <v>-20.8</v>
      </c>
      <c r="I68" s="31"/>
      <c r="J68" s="120">
        <v>1.3</v>
      </c>
    </row>
    <row r="69" spans="1:10" s="28" customFormat="1" ht="15" x14ac:dyDescent="0.25">
      <c r="A69" s="31"/>
      <c r="B69" s="31"/>
      <c r="C69" s="31"/>
      <c r="D69" s="31"/>
      <c r="E69" s="31"/>
      <c r="F69" s="163"/>
      <c r="G69" s="163"/>
      <c r="H69" s="163"/>
      <c r="I69" s="31"/>
      <c r="J69" s="31"/>
    </row>
    <row r="70" spans="1:10" s="28" customFormat="1" x14ac:dyDescent="0.3">
      <c r="A70" s="31"/>
      <c r="B70" s="154" t="s">
        <v>591</v>
      </c>
      <c r="C70" s="31"/>
      <c r="D70" s="31"/>
      <c r="E70" s="31"/>
      <c r="F70" s="163"/>
      <c r="G70" s="163"/>
      <c r="H70" s="163"/>
      <c r="I70" s="31"/>
      <c r="J70" s="31"/>
    </row>
    <row r="71" spans="1:10" s="28" customFormat="1" ht="15" x14ac:dyDescent="0.25">
      <c r="A71" s="31"/>
      <c r="B71" s="154" t="s">
        <v>593</v>
      </c>
      <c r="C71" s="165">
        <f>1.07/2.5</f>
        <v>0.42800000000000005</v>
      </c>
      <c r="D71" s="154"/>
      <c r="E71" s="31"/>
      <c r="F71" s="163"/>
      <c r="G71" s="163"/>
      <c r="H71" s="163"/>
      <c r="I71" s="31"/>
      <c r="J71" s="31"/>
    </row>
    <row r="72" spans="1:10" s="28" customFormat="1" x14ac:dyDescent="0.3">
      <c r="A72" s="31"/>
      <c r="B72" s="159" t="s">
        <v>592</v>
      </c>
      <c r="C72" s="166">
        <f>8*C71</f>
        <v>3.4240000000000004</v>
      </c>
      <c r="D72" s="154" t="s">
        <v>594</v>
      </c>
      <c r="E72" s="31"/>
      <c r="F72" s="31"/>
      <c r="G72" s="163"/>
      <c r="H72" s="163"/>
      <c r="I72" s="31"/>
      <c r="J72" s="31"/>
    </row>
    <row r="73" spans="1:10" s="28" customFormat="1" x14ac:dyDescent="0.3">
      <c r="A73" s="31"/>
      <c r="B73" s="159" t="s">
        <v>595</v>
      </c>
      <c r="C73" s="166">
        <f>16*C71</f>
        <v>6.8480000000000008</v>
      </c>
      <c r="D73" s="154" t="s">
        <v>596</v>
      </c>
      <c r="E73" s="31"/>
      <c r="F73" s="163"/>
      <c r="G73" s="163"/>
      <c r="H73" s="163"/>
      <c r="I73" s="31"/>
      <c r="J73" s="31"/>
    </row>
    <row r="74" spans="1:10" s="28" customFormat="1" x14ac:dyDescent="0.3">
      <c r="A74" s="31"/>
      <c r="B74" s="31" t="s">
        <v>81</v>
      </c>
      <c r="C74" s="31"/>
      <c r="D74" s="31"/>
      <c r="E74" s="31"/>
      <c r="F74" s="163"/>
      <c r="G74" s="163"/>
      <c r="H74" s="163"/>
      <c r="I74" s="31"/>
      <c r="J74" s="120" t="s">
        <v>388</v>
      </c>
    </row>
    <row r="75" spans="1:10" s="28" customFormat="1" x14ac:dyDescent="0.3">
      <c r="A75" s="112" t="str">
        <f>"pessimistinen ("&amp;J75*100&amp;" %)"</f>
        <v>pessimistinen (50 %)</v>
      </c>
      <c r="B75" s="112" t="s">
        <v>562</v>
      </c>
      <c r="C75" s="112">
        <f>$J75*C76</f>
        <v>0</v>
      </c>
      <c r="D75" s="112">
        <f t="shared" ref="D75:H75" si="9">$J75*D76</f>
        <v>0</v>
      </c>
      <c r="E75" s="112">
        <f t="shared" si="9"/>
        <v>0</v>
      </c>
      <c r="F75" s="168">
        <f>$J75*F76</f>
        <v>0</v>
      </c>
      <c r="G75" s="157">
        <f t="shared" si="9"/>
        <v>-0.11183996096000003</v>
      </c>
      <c r="H75" s="157">
        <f t="shared" si="9"/>
        <v>-0.22367992192000005</v>
      </c>
      <c r="I75" s="31"/>
      <c r="J75" s="120">
        <v>0.5</v>
      </c>
    </row>
    <row r="76" spans="1:10" s="28" customFormat="1" x14ac:dyDescent="0.3">
      <c r="A76" s="28" t="s">
        <v>386</v>
      </c>
      <c r="B76" s="49" t="s">
        <v>562</v>
      </c>
      <c r="C76" s="89">
        <v>0</v>
      </c>
      <c r="D76" s="89">
        <v>0</v>
      </c>
      <c r="E76" s="89">
        <v>0</v>
      </c>
      <c r="F76" s="167">
        <v>0</v>
      </c>
      <c r="G76" s="156">
        <f>-C72*Lähtöarvot!$M$142</f>
        <v>-0.22367992192000005</v>
      </c>
      <c r="H76" s="156">
        <f>-C73*Lähtöarvot!$M$142</f>
        <v>-0.4473598438400001</v>
      </c>
      <c r="I76" s="31"/>
      <c r="J76" s="34">
        <v>1</v>
      </c>
    </row>
    <row r="77" spans="1:10" s="28" customFormat="1" x14ac:dyDescent="0.3">
      <c r="A77" s="112" t="str">
        <f>"optimistinen ("&amp;J77*100&amp;" %)"</f>
        <v>optimistinen (130 %)</v>
      </c>
      <c r="B77" s="112" t="s">
        <v>562</v>
      </c>
      <c r="C77" s="112">
        <f>$J77*C76</f>
        <v>0</v>
      </c>
      <c r="D77" s="112">
        <f t="shared" ref="D77:H77" si="10">$J77*D76</f>
        <v>0</v>
      </c>
      <c r="E77" s="112">
        <f t="shared" si="10"/>
        <v>0</v>
      </c>
      <c r="F77" s="168">
        <f t="shared" si="10"/>
        <v>0</v>
      </c>
      <c r="G77" s="157">
        <f t="shared" si="10"/>
        <v>-0.29078389849600006</v>
      </c>
      <c r="H77" s="157">
        <f t="shared" si="10"/>
        <v>-0.58156779699200012</v>
      </c>
      <c r="I77" s="31"/>
      <c r="J77" s="120">
        <v>1.3</v>
      </c>
    </row>
    <row r="78" spans="1:10" s="28" customFormat="1" ht="15" x14ac:dyDescent="0.25">
      <c r="A78" s="31"/>
      <c r="B78" s="31"/>
      <c r="C78" s="31"/>
      <c r="D78" s="31"/>
      <c r="E78" s="31"/>
      <c r="F78" s="163"/>
      <c r="G78" s="163"/>
      <c r="H78" s="163"/>
      <c r="I78" s="31"/>
      <c r="J78" s="31"/>
    </row>
    <row r="79" spans="1:10" s="28" customFormat="1" x14ac:dyDescent="0.3">
      <c r="A79"/>
      <c r="B79" s="154" t="s">
        <v>597</v>
      </c>
      <c r="C79"/>
      <c r="D79"/>
      <c r="E79"/>
      <c r="F79"/>
      <c r="G79"/>
      <c r="H79"/>
      <c r="I79" s="31"/>
      <c r="J79" s="31"/>
    </row>
    <row r="80" spans="1:10" s="28" customFormat="1" x14ac:dyDescent="0.3">
      <c r="A80" s="112" t="s">
        <v>571</v>
      </c>
      <c r="B80" s="112" t="s">
        <v>597</v>
      </c>
      <c r="C80" s="168">
        <f t="shared" ref="C80:F80" si="11">C66+C75</f>
        <v>0</v>
      </c>
      <c r="D80" s="168">
        <f t="shared" si="11"/>
        <v>0</v>
      </c>
      <c r="E80" s="168">
        <f t="shared" si="11"/>
        <v>0</v>
      </c>
      <c r="F80" s="168">
        <f t="shared" si="11"/>
        <v>0</v>
      </c>
      <c r="G80" s="157">
        <f>G66+G75</f>
        <v>-4.1118399609600003</v>
      </c>
      <c r="H80" s="157">
        <f>H66+H75</f>
        <v>-8.2236799219200005</v>
      </c>
      <c r="I80" s="31"/>
      <c r="J80" s="31"/>
    </row>
    <row r="81" spans="1:10" s="28" customFormat="1" x14ac:dyDescent="0.3">
      <c r="A81" s="34" t="s">
        <v>386</v>
      </c>
      <c r="B81" s="34" t="s">
        <v>597</v>
      </c>
      <c r="C81" s="169">
        <f t="shared" ref="C81:H81" si="12">C67+C76</f>
        <v>0</v>
      </c>
      <c r="D81" s="169">
        <f t="shared" si="12"/>
        <v>0</v>
      </c>
      <c r="E81" s="169">
        <f t="shared" si="12"/>
        <v>0</v>
      </c>
      <c r="F81" s="169">
        <f t="shared" si="12"/>
        <v>0</v>
      </c>
      <c r="G81" s="163">
        <f t="shared" si="12"/>
        <v>-8.2236799219200005</v>
      </c>
      <c r="H81" s="163">
        <f t="shared" si="12"/>
        <v>-16.447359843840001</v>
      </c>
      <c r="I81" s="31"/>
      <c r="J81" s="31"/>
    </row>
    <row r="82" spans="1:10" s="28" customFormat="1" x14ac:dyDescent="0.3">
      <c r="A82" s="112" t="s">
        <v>387</v>
      </c>
      <c r="B82" s="112" t="s">
        <v>597</v>
      </c>
      <c r="C82" s="168">
        <f t="shared" ref="C82:G82" si="13">C68+C77</f>
        <v>0</v>
      </c>
      <c r="D82" s="168">
        <f t="shared" si="13"/>
        <v>0</v>
      </c>
      <c r="E82" s="168">
        <f t="shared" si="13"/>
        <v>0</v>
      </c>
      <c r="F82" s="168">
        <f t="shared" si="13"/>
        <v>0</v>
      </c>
      <c r="G82" s="157">
        <f t="shared" si="13"/>
        <v>-10.690783898496001</v>
      </c>
      <c r="H82" s="157">
        <f>H68+H77</f>
        <v>-21.381567796992002</v>
      </c>
      <c r="I82" s="31"/>
      <c r="J82" s="31"/>
    </row>
    <row r="83" spans="1:10" s="28" customFormat="1" ht="15" x14ac:dyDescent="0.25">
      <c r="A83" s="31"/>
      <c r="B83" s="31"/>
      <c r="C83" s="31"/>
      <c r="D83" s="31"/>
      <c r="E83" s="31"/>
      <c r="F83" s="163"/>
      <c r="G83" s="163"/>
      <c r="H83" s="163"/>
      <c r="I83" s="31"/>
      <c r="J83" s="31"/>
    </row>
    <row r="84" spans="1:10" s="28" customFormat="1" ht="15" x14ac:dyDescent="0.25">
      <c r="B84" s="3"/>
      <c r="C84"/>
      <c r="D84"/>
    </row>
    <row r="85" spans="1:10" s="28" customFormat="1" x14ac:dyDescent="0.3">
      <c r="B85" s="58" t="s">
        <v>398</v>
      </c>
      <c r="C85"/>
      <c r="D85"/>
    </row>
    <row r="86" spans="1:10" s="28" customFormat="1" x14ac:dyDescent="0.3">
      <c r="B86" s="107" t="s">
        <v>399</v>
      </c>
      <c r="C86"/>
      <c r="D86"/>
    </row>
    <row r="87" spans="1:10" s="28" customFormat="1" x14ac:dyDescent="0.3">
      <c r="B87" s="22" t="s">
        <v>578</v>
      </c>
      <c r="C87"/>
      <c r="D87"/>
    </row>
    <row r="88" spans="1:10" s="28" customFormat="1" x14ac:dyDescent="0.3">
      <c r="B88" s="22" t="s">
        <v>579</v>
      </c>
      <c r="C88"/>
      <c r="D88"/>
    </row>
    <row r="89" spans="1:10" s="28" customFormat="1" x14ac:dyDescent="0.3">
      <c r="B89" s="22" t="s">
        <v>400</v>
      </c>
      <c r="C89"/>
      <c r="D89"/>
    </row>
    <row r="90" spans="1:10" s="28" customFormat="1" x14ac:dyDescent="0.3">
      <c r="B90" s="5" t="s">
        <v>401</v>
      </c>
      <c r="C90"/>
      <c r="D90"/>
    </row>
    <row r="91" spans="1:10" s="28" customFormat="1" x14ac:dyDescent="0.3">
      <c r="B91" s="5" t="s">
        <v>403</v>
      </c>
      <c r="C91"/>
      <c r="D91"/>
    </row>
    <row r="92" spans="1:10" s="28" customFormat="1" x14ac:dyDescent="0.3">
      <c r="B92" s="5" t="s">
        <v>563</v>
      </c>
      <c r="C92"/>
      <c r="D92"/>
    </row>
    <row r="93" spans="1:10" s="28" customFormat="1" ht="15" x14ac:dyDescent="0.25">
      <c r="B93" s="5" t="s">
        <v>402</v>
      </c>
      <c r="C93"/>
      <c r="D93"/>
      <c r="J93" s="120" t="s">
        <v>388</v>
      </c>
    </row>
    <row r="94" spans="1:10" s="28" customFormat="1" x14ac:dyDescent="0.3">
      <c r="A94" s="112" t="str">
        <f>"pessimistinen ("&amp;J94*100&amp;" %)"</f>
        <v>pessimistinen (50 %)</v>
      </c>
      <c r="B94" s="112" t="s">
        <v>414</v>
      </c>
      <c r="C94" s="112">
        <f>$J94*C96</f>
        <v>0</v>
      </c>
      <c r="D94" s="112">
        <f t="shared" ref="D94:G94" si="14">$J94*D96</f>
        <v>0</v>
      </c>
      <c r="E94" s="112">
        <f t="shared" si="14"/>
        <v>0</v>
      </c>
      <c r="F94" s="113">
        <f t="shared" si="14"/>
        <v>-1.125</v>
      </c>
      <c r="G94" s="113">
        <f t="shared" si="14"/>
        <v>-2.25</v>
      </c>
      <c r="H94" s="113">
        <f>$J94*H96</f>
        <v>-2.5</v>
      </c>
      <c r="J94" s="120">
        <v>0.5</v>
      </c>
    </row>
    <row r="95" spans="1:10" s="28" customFormat="1" x14ac:dyDescent="0.3">
      <c r="A95" s="112" t="str">
        <f>"neutraali ("&amp;J95*100&amp;" %)"</f>
        <v>neutraali (75 %)</v>
      </c>
      <c r="B95" s="112" t="s">
        <v>414</v>
      </c>
      <c r="C95" s="112">
        <f t="shared" ref="C95:G95" si="15">$J95*C96</f>
        <v>0</v>
      </c>
      <c r="D95" s="112">
        <f t="shared" si="15"/>
        <v>0</v>
      </c>
      <c r="E95" s="112">
        <f t="shared" si="15"/>
        <v>0</v>
      </c>
      <c r="F95" s="113">
        <f t="shared" si="15"/>
        <v>-1.6875</v>
      </c>
      <c r="G95" s="113">
        <f t="shared" si="15"/>
        <v>-3.375</v>
      </c>
      <c r="H95" s="113">
        <f>$J95*H96</f>
        <v>-3.75</v>
      </c>
      <c r="J95" s="120">
        <v>0.75</v>
      </c>
    </row>
    <row r="96" spans="1:10" s="28" customFormat="1" x14ac:dyDescent="0.3">
      <c r="A96" s="34" t="s">
        <v>387</v>
      </c>
      <c r="B96" s="34" t="s">
        <v>414</v>
      </c>
      <c r="C96" s="89">
        <v>0</v>
      </c>
      <c r="D96" s="89">
        <v>0</v>
      </c>
      <c r="E96" s="89">
        <v>0</v>
      </c>
      <c r="F96" s="89">
        <f>G96*0.5</f>
        <v>-2.25</v>
      </c>
      <c r="G96" s="24">
        <v>-4.5</v>
      </c>
      <c r="H96" s="24">
        <v>-5</v>
      </c>
      <c r="I96" s="31"/>
      <c r="J96" s="34">
        <v>1</v>
      </c>
    </row>
    <row r="97" spans="1:10" s="28" customFormat="1" ht="15" x14ac:dyDescent="0.25">
      <c r="A97" s="34"/>
      <c r="B97" s="34"/>
      <c r="C97" s="34"/>
      <c r="D97" s="34"/>
      <c r="E97" s="34"/>
      <c r="F97" s="34"/>
      <c r="G97" s="34"/>
      <c r="H97" s="34"/>
      <c r="I97" s="31"/>
      <c r="J97" s="34"/>
    </row>
    <row r="98" spans="1:10" s="28" customFormat="1" x14ac:dyDescent="0.3">
      <c r="B98" s="5" t="s">
        <v>564</v>
      </c>
      <c r="C98"/>
      <c r="D98"/>
    </row>
    <row r="99" spans="1:10" s="28" customFormat="1" x14ac:dyDescent="0.3">
      <c r="B99" s="5" t="s">
        <v>568</v>
      </c>
      <c r="C99"/>
      <c r="D99"/>
    </row>
    <row r="100" spans="1:10" s="28" customFormat="1" x14ac:dyDescent="0.3">
      <c r="B100" s="5" t="s">
        <v>566</v>
      </c>
      <c r="C100"/>
      <c r="D100"/>
    </row>
    <row r="101" spans="1:10" s="28" customFormat="1" x14ac:dyDescent="0.3">
      <c r="B101" s="5" t="s">
        <v>565</v>
      </c>
      <c r="C101"/>
      <c r="D101"/>
    </row>
    <row r="102" spans="1:10" s="28" customFormat="1" x14ac:dyDescent="0.3">
      <c r="B102" s="5" t="s">
        <v>567</v>
      </c>
      <c r="C102"/>
      <c r="D102"/>
    </row>
    <row r="103" spans="1:10" s="28" customFormat="1" ht="15" x14ac:dyDescent="0.25">
      <c r="B103" s="3"/>
      <c r="C103"/>
      <c r="D103"/>
    </row>
    <row r="104" spans="1:10" s="28" customFormat="1" ht="15" x14ac:dyDescent="0.25">
      <c r="B104" s="58" t="s">
        <v>269</v>
      </c>
      <c r="C104"/>
      <c r="D104"/>
    </row>
    <row r="105" spans="1:10" s="28" customFormat="1" x14ac:dyDescent="0.3">
      <c r="B105" s="22" t="s">
        <v>415</v>
      </c>
      <c r="C105"/>
      <c r="D105"/>
    </row>
    <row r="106" spans="1:10" s="28" customFormat="1" x14ac:dyDescent="0.3">
      <c r="B106" s="22" t="s">
        <v>416</v>
      </c>
      <c r="C106"/>
      <c r="D106"/>
    </row>
    <row r="107" spans="1:10" s="28" customFormat="1" x14ac:dyDescent="0.3">
      <c r="B107" s="107" t="s">
        <v>381</v>
      </c>
    </row>
    <row r="108" spans="1:10" s="28" customFormat="1" x14ac:dyDescent="0.3">
      <c r="B108" s="119" t="s">
        <v>417</v>
      </c>
    </row>
    <row r="109" spans="1:10" s="28" customFormat="1" x14ac:dyDescent="0.3">
      <c r="B109" s="107" t="s">
        <v>383</v>
      </c>
    </row>
    <row r="110" spans="1:10" s="28" customFormat="1" x14ac:dyDescent="0.3">
      <c r="B110" s="107" t="s">
        <v>382</v>
      </c>
    </row>
    <row r="111" spans="1:10" s="28" customFormat="1" x14ac:dyDescent="0.3">
      <c r="B111" s="119" t="s">
        <v>569</v>
      </c>
      <c r="J111" s="120" t="s">
        <v>388</v>
      </c>
    </row>
    <row r="112" spans="1:10" s="28" customFormat="1" x14ac:dyDescent="0.3">
      <c r="A112" s="112" t="str">
        <f>"pessimistinen ("&amp;J112*100&amp;" %)"</f>
        <v>pessimistinen (50 %)</v>
      </c>
      <c r="B112" s="112" t="s">
        <v>395</v>
      </c>
      <c r="C112" s="112">
        <f>$J112*C113</f>
        <v>0</v>
      </c>
      <c r="D112" s="112">
        <f t="shared" ref="D112" si="16">$J112*D113</f>
        <v>0</v>
      </c>
      <c r="E112" s="112">
        <f t="shared" ref="E112" si="17">$J112*E113</f>
        <v>0</v>
      </c>
      <c r="F112" s="113">
        <f>$J112*F113</f>
        <v>-4.407692307692308</v>
      </c>
      <c r="G112" s="113">
        <f t="shared" ref="G112" si="18">$J112*G113</f>
        <v>-11.01923076923077</v>
      </c>
      <c r="H112" s="113">
        <f t="shared" ref="H112" si="19">$J112*H113</f>
        <v>-14.324999999999999</v>
      </c>
      <c r="J112" s="120">
        <v>0.5</v>
      </c>
    </row>
    <row r="113" spans="1:10" s="28" customFormat="1" x14ac:dyDescent="0.3">
      <c r="A113" s="28" t="s">
        <v>386</v>
      </c>
      <c r="B113" s="49" t="s">
        <v>395</v>
      </c>
      <c r="C113" s="108">
        <f>IF(C20&lt;2000,0,-MIN('HLJ-hankkeet'!$G$41,'HLJ-hankkeet'!$G$41/6500*C20))</f>
        <v>0</v>
      </c>
      <c r="D113" s="108">
        <f>IF(D20&lt;2000,0,-MIN('HLJ-hankkeet'!$G$41,'HLJ-hankkeet'!$G$41/6500*D20))</f>
        <v>0</v>
      </c>
      <c r="E113" s="108">
        <f>IF(E20&lt;2000,0,-MIN('HLJ-hankkeet'!$G$41,'HLJ-hankkeet'!$G$41/6500*E20))</f>
        <v>0</v>
      </c>
      <c r="F113" s="114">
        <f>IF(F20&lt;2000,0,-MIN('HLJ-hankkeet'!$G$41,'HLJ-hankkeet'!$G$41/6500*F20))</f>
        <v>-8.815384615384616</v>
      </c>
      <c r="G113" s="114">
        <f>IF(G20&lt;2000,0,-MIN('HLJ-hankkeet'!$G$41,'HLJ-hankkeet'!$G$41/6500*G20))</f>
        <v>-22.03846153846154</v>
      </c>
      <c r="H113" s="114">
        <f>IF(H20&lt;2000,0,-MIN('HLJ-hankkeet'!$G$41,'HLJ-hankkeet'!$G$41/6500*H20))</f>
        <v>-28.65</v>
      </c>
      <c r="J113" s="34">
        <v>1</v>
      </c>
    </row>
    <row r="114" spans="1:10" s="28" customFormat="1" x14ac:dyDescent="0.3">
      <c r="A114" s="112" t="str">
        <f>"optimistinen ("&amp;J114*100&amp;" %)"</f>
        <v>optimistinen (130 %)</v>
      </c>
      <c r="B114" s="112" t="s">
        <v>395</v>
      </c>
      <c r="C114" s="112">
        <f>$J114*C113</f>
        <v>0</v>
      </c>
      <c r="D114" s="112">
        <f t="shared" ref="D114" si="20">$J114*D113</f>
        <v>0</v>
      </c>
      <c r="E114" s="112">
        <f t="shared" ref="E114" si="21">$J114*E113</f>
        <v>0</v>
      </c>
      <c r="F114" s="113">
        <f t="shared" ref="F114" si="22">$J114*F113</f>
        <v>-11.46</v>
      </c>
      <c r="G114" s="113">
        <f>$J114*G113</f>
        <v>-28.650000000000002</v>
      </c>
      <c r="H114" s="113">
        <f t="shared" ref="H114" si="23">$J114*H113</f>
        <v>-37.244999999999997</v>
      </c>
      <c r="J114" s="120">
        <v>1.3</v>
      </c>
    </row>
    <row r="115" spans="1:10" s="28" customFormat="1" x14ac:dyDescent="0.3">
      <c r="B115" s="3"/>
      <c r="C115"/>
      <c r="D115"/>
      <c r="J115" s="31"/>
    </row>
    <row r="116" spans="1:10" x14ac:dyDescent="0.3">
      <c r="B116" s="3"/>
      <c r="C116" s="15"/>
      <c r="D116" s="15"/>
      <c r="E116" s="15"/>
      <c r="F116" s="15"/>
      <c r="G116" s="15"/>
      <c r="H116" s="15"/>
    </row>
    <row r="118" spans="1:10" x14ac:dyDescent="0.3">
      <c r="B118" s="1" t="s">
        <v>440</v>
      </c>
      <c r="C118" s="6" t="s">
        <v>609</v>
      </c>
      <c r="D118" s="6"/>
      <c r="E118" s="6"/>
      <c r="F118" s="6"/>
      <c r="G118" s="6"/>
      <c r="H118" s="6"/>
    </row>
    <row r="119" spans="1:10" x14ac:dyDescent="0.3">
      <c r="B119" s="19" t="s">
        <v>124</v>
      </c>
      <c r="C119" s="8">
        <f t="shared" ref="C119:H119" si="24">C20</f>
        <v>15</v>
      </c>
      <c r="D119" s="8">
        <f t="shared" si="24"/>
        <v>100</v>
      </c>
      <c r="E119" s="8">
        <f t="shared" si="24"/>
        <v>1000</v>
      </c>
      <c r="F119" s="8">
        <f t="shared" si="24"/>
        <v>2000</v>
      </c>
      <c r="G119" s="8">
        <f t="shared" si="24"/>
        <v>5000</v>
      </c>
      <c r="H119" s="8">
        <f t="shared" si="24"/>
        <v>8000</v>
      </c>
    </row>
    <row r="120" spans="1:10" x14ac:dyDescent="0.3">
      <c r="B120" t="s">
        <v>380</v>
      </c>
      <c r="C120" s="59">
        <f t="shared" ref="C120:H120" si="25">C53</f>
        <v>0</v>
      </c>
      <c r="D120" s="59">
        <f t="shared" si="25"/>
        <v>0</v>
      </c>
      <c r="E120" s="59">
        <f t="shared" si="25"/>
        <v>0</v>
      </c>
      <c r="F120" s="59">
        <f t="shared" si="25"/>
        <v>-2.5698999755999998</v>
      </c>
      <c r="G120" s="59">
        <f t="shared" si="25"/>
        <v>-4.3234681812</v>
      </c>
      <c r="H120" s="59">
        <f t="shared" si="25"/>
        <v>-6.4852022718000004</v>
      </c>
      <c r="J120" t="s">
        <v>173</v>
      </c>
    </row>
    <row r="121" spans="1:10" x14ac:dyDescent="0.3">
      <c r="B121" t="s">
        <v>598</v>
      </c>
      <c r="C121" s="59">
        <f>C81</f>
        <v>0</v>
      </c>
      <c r="D121" s="59">
        <f t="shared" ref="D121:H121" si="26">D81</f>
        <v>0</v>
      </c>
      <c r="E121" s="59">
        <f t="shared" si="26"/>
        <v>0</v>
      </c>
      <c r="F121" s="59">
        <f t="shared" si="26"/>
        <v>0</v>
      </c>
      <c r="G121" s="59">
        <f t="shared" si="26"/>
        <v>-8.2236799219200005</v>
      </c>
      <c r="H121" s="59">
        <f t="shared" si="26"/>
        <v>-16.447359843840001</v>
      </c>
      <c r="J121" t="s">
        <v>174</v>
      </c>
    </row>
    <row r="122" spans="1:10" x14ac:dyDescent="0.3">
      <c r="B122" t="s">
        <v>429</v>
      </c>
      <c r="C122" s="59">
        <f t="shared" ref="C122:H122" si="27">C95</f>
        <v>0</v>
      </c>
      <c r="D122" s="59">
        <f t="shared" si="27"/>
        <v>0</v>
      </c>
      <c r="E122" s="59">
        <f t="shared" si="27"/>
        <v>0</v>
      </c>
      <c r="F122" s="59">
        <f t="shared" si="27"/>
        <v>-1.6875</v>
      </c>
      <c r="G122" s="59">
        <f t="shared" si="27"/>
        <v>-3.375</v>
      </c>
      <c r="H122" s="59">
        <f t="shared" si="27"/>
        <v>-3.75</v>
      </c>
    </row>
    <row r="123" spans="1:10" x14ac:dyDescent="0.3">
      <c r="B123" t="s">
        <v>377</v>
      </c>
      <c r="C123" s="59">
        <f t="shared" ref="C123:H123" si="28">C113</f>
        <v>0</v>
      </c>
      <c r="D123" s="59">
        <f t="shared" si="28"/>
        <v>0</v>
      </c>
      <c r="E123" s="59">
        <f t="shared" si="28"/>
        <v>0</v>
      </c>
      <c r="F123" s="59">
        <f t="shared" si="28"/>
        <v>-8.815384615384616</v>
      </c>
      <c r="G123" s="59">
        <f t="shared" si="28"/>
        <v>-22.03846153846154</v>
      </c>
      <c r="H123" s="59">
        <f t="shared" si="28"/>
        <v>-28.65</v>
      </c>
    </row>
    <row r="125" spans="1:10" x14ac:dyDescent="0.3">
      <c r="B125" s="22"/>
    </row>
    <row r="146" spans="2:8" x14ac:dyDescent="0.3">
      <c r="B146" s="1" t="s">
        <v>430</v>
      </c>
    </row>
    <row r="147" spans="2:8" x14ac:dyDescent="0.3">
      <c r="B147" s="19" t="s">
        <v>124</v>
      </c>
      <c r="C147" s="8">
        <f>C119</f>
        <v>15</v>
      </c>
      <c r="D147" s="8">
        <f t="shared" ref="D147:H147" si="29">D119</f>
        <v>100</v>
      </c>
      <c r="E147" s="8">
        <f t="shared" si="29"/>
        <v>1000</v>
      </c>
      <c r="F147" s="8">
        <f t="shared" si="29"/>
        <v>2000</v>
      </c>
      <c r="G147" s="8">
        <f t="shared" si="29"/>
        <v>5000</v>
      </c>
      <c r="H147" s="8">
        <f t="shared" si="29"/>
        <v>8000</v>
      </c>
    </row>
    <row r="148" spans="2:8" x14ac:dyDescent="0.3">
      <c r="B148" t="s">
        <v>431</v>
      </c>
      <c r="C148" s="45">
        <f>C52+C80+C94+C112</f>
        <v>0</v>
      </c>
      <c r="D148" s="45">
        <f t="shared" ref="D148:H148" si="30">D52+D80+D94+D112</f>
        <v>0</v>
      </c>
      <c r="E148" s="45">
        <f t="shared" si="30"/>
        <v>0</v>
      </c>
      <c r="F148" s="44">
        <f t="shared" si="30"/>
        <v>-6.8176422954923082</v>
      </c>
      <c r="G148" s="44">
        <f t="shared" si="30"/>
        <v>-19.542804820790771</v>
      </c>
      <c r="H148" s="44">
        <f t="shared" si="30"/>
        <v>-28.291281057820001</v>
      </c>
    </row>
    <row r="149" spans="2:8" x14ac:dyDescent="0.3">
      <c r="B149" t="s">
        <v>432</v>
      </c>
      <c r="C149" s="45">
        <f>C53+C81+C95+C113</f>
        <v>0</v>
      </c>
      <c r="D149" s="45">
        <f t="shared" ref="D149:H149" si="31">D53+D81+D95+D113</f>
        <v>0</v>
      </c>
      <c r="E149" s="45">
        <f t="shared" si="31"/>
        <v>0</v>
      </c>
      <c r="F149" s="44">
        <f t="shared" si="31"/>
        <v>-13.072784590984616</v>
      </c>
      <c r="G149" s="44">
        <f t="shared" si="31"/>
        <v>-37.960609641581541</v>
      </c>
      <c r="H149" s="44">
        <f t="shared" si="31"/>
        <v>-55.332562115640002</v>
      </c>
    </row>
    <row r="150" spans="2:8" x14ac:dyDescent="0.3">
      <c r="B150" t="s">
        <v>433</v>
      </c>
      <c r="C150" s="45">
        <f>C54+C82+C96+C114</f>
        <v>0</v>
      </c>
      <c r="D150" s="45">
        <f t="shared" ref="D150:H150" si="32">D54+D82+D96+D114</f>
        <v>0</v>
      </c>
      <c r="E150" s="45">
        <f t="shared" si="32"/>
        <v>0</v>
      </c>
      <c r="F150" s="44">
        <f t="shared" si="32"/>
        <v>-17.050869968280001</v>
      </c>
      <c r="G150" s="44">
        <f t="shared" si="32"/>
        <v>-49.461292534056</v>
      </c>
      <c r="H150" s="44">
        <f t="shared" si="32"/>
        <v>-72.057330750332</v>
      </c>
    </row>
    <row r="152" spans="2:8" x14ac:dyDescent="0.3">
      <c r="B152" s="8" t="s">
        <v>439</v>
      </c>
      <c r="C152" s="8">
        <f>C147</f>
        <v>15</v>
      </c>
      <c r="D152" s="8">
        <f t="shared" ref="D152:H152" si="33">D147</f>
        <v>100</v>
      </c>
      <c r="E152" s="8">
        <f t="shared" si="33"/>
        <v>1000</v>
      </c>
      <c r="F152" s="8">
        <f t="shared" si="33"/>
        <v>2000</v>
      </c>
      <c r="G152" s="8">
        <f t="shared" si="33"/>
        <v>5000</v>
      </c>
      <c r="H152" s="8">
        <f t="shared" si="33"/>
        <v>8000</v>
      </c>
    </row>
    <row r="153" spans="2:8" x14ac:dyDescent="0.3">
      <c r="B153" t="s">
        <v>436</v>
      </c>
      <c r="C153" s="45">
        <f>C148</f>
        <v>0</v>
      </c>
      <c r="D153">
        <f t="shared" ref="D153:H153" si="34">D148</f>
        <v>0</v>
      </c>
      <c r="E153">
        <f t="shared" si="34"/>
        <v>0</v>
      </c>
      <c r="F153" s="44">
        <f t="shared" si="34"/>
        <v>-6.8176422954923082</v>
      </c>
      <c r="G153" s="44">
        <f t="shared" si="34"/>
        <v>-19.542804820790771</v>
      </c>
      <c r="H153" s="44">
        <f t="shared" si="34"/>
        <v>-28.291281057820001</v>
      </c>
    </row>
    <row r="154" spans="2:8" x14ac:dyDescent="0.3">
      <c r="B154" t="s">
        <v>437</v>
      </c>
      <c r="C154" s="45">
        <f>C149-C148</f>
        <v>0</v>
      </c>
      <c r="D154" s="45">
        <f t="shared" ref="D154:H154" si="35">D149-D148</f>
        <v>0</v>
      </c>
      <c r="E154" s="45">
        <f t="shared" si="35"/>
        <v>0</v>
      </c>
      <c r="F154" s="44">
        <f t="shared" si="35"/>
        <v>-6.2551422954923082</v>
      </c>
      <c r="G154" s="44">
        <f t="shared" si="35"/>
        <v>-18.417804820790771</v>
      </c>
      <c r="H154" s="44">
        <f t="shared" si="35"/>
        <v>-27.041281057820001</v>
      </c>
    </row>
    <row r="155" spans="2:8" x14ac:dyDescent="0.3">
      <c r="B155" s="8" t="s">
        <v>438</v>
      </c>
      <c r="C155" s="124">
        <f>C150-C149</f>
        <v>0</v>
      </c>
      <c r="D155" s="124">
        <f t="shared" ref="D155:H155" si="36">D150-D149</f>
        <v>0</v>
      </c>
      <c r="E155" s="124">
        <f t="shared" si="36"/>
        <v>0</v>
      </c>
      <c r="F155" s="125">
        <f t="shared" si="36"/>
        <v>-3.9780853772953844</v>
      </c>
      <c r="G155" s="125">
        <f t="shared" si="36"/>
        <v>-11.500682892474458</v>
      </c>
      <c r="H155" s="125">
        <f t="shared" si="36"/>
        <v>-16.724768634691998</v>
      </c>
    </row>
    <row r="156" spans="2:8" x14ac:dyDescent="0.3">
      <c r="B156" t="s">
        <v>611</v>
      </c>
      <c r="C156">
        <f>SUM(C153:C155)</f>
        <v>0</v>
      </c>
      <c r="D156">
        <f t="shared" ref="D156:H156" si="37">SUM(D153:D155)</f>
        <v>0</v>
      </c>
      <c r="E156">
        <f t="shared" si="37"/>
        <v>0</v>
      </c>
      <c r="F156" s="44">
        <f t="shared" si="37"/>
        <v>-17.050869968280001</v>
      </c>
      <c r="G156" s="44">
        <f t="shared" si="37"/>
        <v>-49.461292534056</v>
      </c>
      <c r="H156" s="44">
        <f t="shared" si="37"/>
        <v>-72.057330750332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Lähtöarvot</vt:lpstr>
      <vt:lpstr>HLJ-hankkeet</vt:lpstr>
      <vt:lpstr>Lyhyt_av_neutraali</vt:lpstr>
      <vt:lpstr>Lyhyt_av_pessimist</vt:lpstr>
      <vt:lpstr>Lyhyt_av_optimist</vt:lpstr>
      <vt:lpstr>Lyhyt_av_koonti</vt:lpstr>
      <vt:lpstr>Pitkä_aikaväli</vt:lpstr>
      <vt:lpstr>Pitkä_aikaväli+ShL_VpL</vt:lpstr>
      <vt:lpstr>Pitkä_laskenta-aputaulu</vt:lpstr>
      <vt:lpstr>ShL_VpL</vt:lpstr>
      <vt:lpstr>Ei-arvioitavat</vt:lpstr>
    </vt:vector>
  </TitlesOfParts>
  <Company>WSP Group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Rantala, Annika</dc:creator>
  <cp:lastModifiedBy>Kotikangas Sari</cp:lastModifiedBy>
  <dcterms:created xsi:type="dcterms:W3CDTF">2015-04-28T06:48:35Z</dcterms:created>
  <dcterms:modified xsi:type="dcterms:W3CDTF">2015-10-13T10:43:04Z</dcterms:modified>
</cp:coreProperties>
</file>